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ee1\Desktop\"/>
    </mc:Choice>
  </mc:AlternateContent>
  <bookViews>
    <workbookView xWindow="0" yWindow="0" windowWidth="20490" windowHeight="7290" firstSheet="2" activeTab="5"/>
  </bookViews>
  <sheets>
    <sheet name="Data" sheetId="4" state="hidden" r:id="rId1"/>
    <sheet name="Teams" sheetId="5" state="hidden" r:id="rId2"/>
    <sheet name="Group Fixtures" sheetId="3" r:id="rId3"/>
    <sheet name="Calculations" sheetId="1" state="hidden" r:id="rId4"/>
    <sheet name="Third Place Rankings Table" sheetId="10" state="hidden" r:id="rId5"/>
    <sheet name="Group League Tables" sheetId="2" r:id="rId6"/>
    <sheet name="Knockout Stages" sheetId="6" r:id="rId7"/>
  </sheets>
  <definedNames>
    <definedName name="_xlnm._FilterDatabase" localSheetId="2" hidden="1">'Group Fixtures'!$A$1:$E$198</definedName>
  </definedNames>
  <calcPr calcId="152511"/>
</workbook>
</file>

<file path=xl/calcChain.xml><?xml version="1.0" encoding="utf-8"?>
<calcChain xmlns="http://schemas.openxmlformats.org/spreadsheetml/2006/main">
  <c r="W10" i="6" l="1"/>
  <c r="W5" i="6"/>
  <c r="Q9" i="6"/>
  <c r="M9" i="6"/>
  <c r="K17" i="6"/>
  <c r="G17" i="6"/>
  <c r="K13" i="6"/>
  <c r="G13" i="6"/>
  <c r="K9" i="6"/>
  <c r="G9" i="6"/>
  <c r="Q5" i="6" s="1"/>
  <c r="S5" i="6" s="1"/>
  <c r="G5" i="6"/>
  <c r="M5" i="6" s="1"/>
  <c r="S10" i="6" s="1"/>
  <c r="K5" i="6"/>
  <c r="S16" i="6" l="1"/>
  <c r="F51" i="2" l="1"/>
  <c r="C39" i="1" l="1"/>
  <c r="C40" i="1"/>
  <c r="C41" i="1"/>
  <c r="C42" i="1"/>
  <c r="I42" i="1" l="1"/>
  <c r="H42" i="1"/>
  <c r="G42" i="1"/>
  <c r="F42" i="1"/>
  <c r="E42" i="1"/>
  <c r="D42" i="1"/>
  <c r="I40" i="1"/>
  <c r="H40" i="1"/>
  <c r="G40" i="1"/>
  <c r="F40" i="1"/>
  <c r="E40" i="1"/>
  <c r="D40" i="1"/>
  <c r="I41" i="1"/>
  <c r="H41" i="1"/>
  <c r="G41" i="1"/>
  <c r="F41" i="1"/>
  <c r="E41" i="1"/>
  <c r="D41" i="1"/>
  <c r="I39" i="1"/>
  <c r="H39" i="1"/>
  <c r="G39" i="1"/>
  <c r="F39" i="1"/>
  <c r="E39" i="1"/>
  <c r="D39" i="1"/>
  <c r="K41" i="1"/>
  <c r="J40" i="1"/>
  <c r="J41" i="1"/>
  <c r="K39" i="1" l="1"/>
  <c r="J39" i="1"/>
  <c r="J42" i="1"/>
  <c r="K40" i="1"/>
  <c r="K42" i="1"/>
  <c r="L42" i="1" l="1"/>
  <c r="L39" i="1"/>
  <c r="L41" i="1"/>
  <c r="L40" i="1"/>
  <c r="M39" i="1"/>
  <c r="N40" i="1"/>
  <c r="N42" i="1"/>
  <c r="M41" i="1"/>
  <c r="N39" i="1"/>
  <c r="N41" i="1"/>
  <c r="M40" i="1"/>
  <c r="M42" i="1"/>
  <c r="B39" i="1" l="1"/>
  <c r="B40" i="1"/>
  <c r="B42" i="1"/>
  <c r="B41" i="1"/>
  <c r="A41" i="1" l="1"/>
  <c r="A40" i="1"/>
  <c r="A42" i="1"/>
  <c r="A39" i="1"/>
  <c r="E39" i="2" l="1"/>
  <c r="I39" i="2"/>
  <c r="H39" i="2"/>
  <c r="G39" i="2"/>
  <c r="F39" i="2"/>
  <c r="D39" i="2"/>
  <c r="C39" i="2"/>
  <c r="B39" i="2"/>
  <c r="A17" i="6" s="1"/>
  <c r="E40" i="2"/>
  <c r="I40" i="2"/>
  <c r="H40" i="2"/>
  <c r="G40" i="2"/>
  <c r="F40" i="2"/>
  <c r="D40" i="2"/>
  <c r="C40" i="2"/>
  <c r="B40" i="2"/>
  <c r="E29" i="6" s="1"/>
  <c r="I42" i="2"/>
  <c r="G42" i="2"/>
  <c r="D42" i="2"/>
  <c r="B42" i="2"/>
  <c r="E41" i="2"/>
  <c r="F51" i="1" s="1"/>
  <c r="I41" i="2"/>
  <c r="J51" i="1" s="1"/>
  <c r="H41" i="2"/>
  <c r="I51" i="1" s="1"/>
  <c r="G41" i="2"/>
  <c r="H51" i="1" s="1"/>
  <c r="F41" i="2"/>
  <c r="G51" i="1" s="1"/>
  <c r="D41" i="2"/>
  <c r="E51" i="1" s="1"/>
  <c r="C41" i="2"/>
  <c r="D51" i="1" s="1"/>
  <c r="B41" i="2"/>
  <c r="C51" i="1" s="1"/>
  <c r="E42" i="2"/>
  <c r="H42" i="2"/>
  <c r="F42" i="2"/>
  <c r="C42" i="2"/>
  <c r="J41" i="2" l="1"/>
  <c r="K51" i="1" s="1"/>
  <c r="J40" i="2"/>
  <c r="J39" i="2"/>
  <c r="J42" i="2"/>
  <c r="C33" i="1" l="1"/>
  <c r="C34" i="1"/>
  <c r="C35" i="1"/>
  <c r="C32" i="1"/>
  <c r="C26" i="1"/>
  <c r="C27" i="1"/>
  <c r="C28" i="1"/>
  <c r="C25" i="1"/>
  <c r="C19" i="1"/>
  <c r="C20" i="1"/>
  <c r="C21" i="1"/>
  <c r="C18" i="1"/>
  <c r="C12" i="1"/>
  <c r="C13" i="1"/>
  <c r="C14" i="1"/>
  <c r="C11" i="1"/>
  <c r="I11" i="1" l="1"/>
  <c r="H11" i="1"/>
  <c r="G11" i="1"/>
  <c r="F11" i="1"/>
  <c r="D11" i="1"/>
  <c r="E11" i="1"/>
  <c r="I13" i="1"/>
  <c r="H13" i="1"/>
  <c r="G13" i="1"/>
  <c r="F13" i="1"/>
  <c r="E13" i="1"/>
  <c r="D13" i="1"/>
  <c r="I18" i="1"/>
  <c r="H18" i="1"/>
  <c r="G18" i="1"/>
  <c r="F18" i="1"/>
  <c r="E18" i="1"/>
  <c r="D18" i="1"/>
  <c r="I20" i="1"/>
  <c r="H20" i="1"/>
  <c r="G20" i="1"/>
  <c r="F20" i="1"/>
  <c r="E20" i="1"/>
  <c r="D20" i="1"/>
  <c r="I25" i="1"/>
  <c r="H25" i="1"/>
  <c r="G25" i="1"/>
  <c r="F25" i="1"/>
  <c r="E25" i="1"/>
  <c r="D25" i="1"/>
  <c r="I27" i="1"/>
  <c r="H27" i="1"/>
  <c r="G27" i="1"/>
  <c r="F27" i="1"/>
  <c r="E27" i="1"/>
  <c r="D27" i="1"/>
  <c r="I32" i="1"/>
  <c r="H32" i="1"/>
  <c r="G32" i="1"/>
  <c r="F32" i="1"/>
  <c r="E32" i="1"/>
  <c r="D32" i="1"/>
  <c r="I34" i="1"/>
  <c r="H34" i="1"/>
  <c r="G34" i="1"/>
  <c r="F34" i="1"/>
  <c r="E34" i="1"/>
  <c r="D34" i="1"/>
  <c r="I14" i="1"/>
  <c r="H14" i="1"/>
  <c r="G14" i="1"/>
  <c r="F14" i="1"/>
  <c r="E14" i="1"/>
  <c r="D14" i="1"/>
  <c r="I12" i="1"/>
  <c r="H12" i="1"/>
  <c r="G12" i="1"/>
  <c r="F12" i="1"/>
  <c r="E12" i="1"/>
  <c r="D12" i="1"/>
  <c r="I21" i="1"/>
  <c r="H21" i="1"/>
  <c r="G21" i="1"/>
  <c r="F21" i="1"/>
  <c r="E21" i="1"/>
  <c r="D21" i="1"/>
  <c r="I19" i="1"/>
  <c r="H19" i="1"/>
  <c r="G19" i="1"/>
  <c r="F19" i="1"/>
  <c r="E19" i="1"/>
  <c r="D19" i="1"/>
  <c r="I28" i="1"/>
  <c r="H28" i="1"/>
  <c r="G28" i="1"/>
  <c r="F28" i="1"/>
  <c r="E28" i="1"/>
  <c r="D28" i="1"/>
  <c r="I26" i="1"/>
  <c r="H26" i="1"/>
  <c r="G26" i="1"/>
  <c r="F26" i="1"/>
  <c r="E26" i="1"/>
  <c r="D26" i="1"/>
  <c r="I35" i="1"/>
  <c r="H35" i="1"/>
  <c r="G35" i="1"/>
  <c r="F35" i="1"/>
  <c r="E35" i="1"/>
  <c r="D35" i="1"/>
  <c r="I33" i="1"/>
  <c r="H33" i="1"/>
  <c r="G33" i="1"/>
  <c r="F33" i="1"/>
  <c r="E33" i="1"/>
  <c r="D33" i="1"/>
  <c r="C5" i="1"/>
  <c r="C6" i="1"/>
  <c r="C7" i="1"/>
  <c r="C4" i="1"/>
  <c r="I7" i="1" l="1"/>
  <c r="H7" i="1"/>
  <c r="G7" i="1"/>
  <c r="F7" i="1"/>
  <c r="E7" i="1"/>
  <c r="D7" i="1"/>
  <c r="I5" i="1"/>
  <c r="H5" i="1"/>
  <c r="G5" i="1"/>
  <c r="F5" i="1"/>
  <c r="E5" i="1"/>
  <c r="D5" i="1"/>
  <c r="I4" i="1"/>
  <c r="H4" i="1"/>
  <c r="G4" i="1"/>
  <c r="F4" i="1"/>
  <c r="D4" i="1"/>
  <c r="E4" i="1"/>
  <c r="I6" i="1"/>
  <c r="H6" i="1"/>
  <c r="G6" i="1"/>
  <c r="F6" i="1"/>
  <c r="E6" i="1"/>
  <c r="D6" i="1"/>
  <c r="K32" i="1"/>
  <c r="K33" i="1"/>
  <c r="K34" i="1"/>
  <c r="K35" i="1"/>
  <c r="K25" i="1"/>
  <c r="K26" i="1"/>
  <c r="K27" i="1"/>
  <c r="K28" i="1"/>
  <c r="K18" i="1"/>
  <c r="K19" i="1"/>
  <c r="K20" i="1"/>
  <c r="K21" i="1"/>
  <c r="K11" i="1"/>
  <c r="K12" i="1"/>
  <c r="K13" i="1"/>
  <c r="K14" i="1"/>
  <c r="J21" i="1" l="1"/>
  <c r="J14" i="1"/>
  <c r="J13" i="1"/>
  <c r="J12" i="1"/>
  <c r="J11" i="1"/>
  <c r="J20" i="1"/>
  <c r="J19" i="1"/>
  <c r="J18" i="1"/>
  <c r="J28" i="1"/>
  <c r="J27" i="1"/>
  <c r="J26" i="1"/>
  <c r="J25" i="1"/>
  <c r="J35" i="1"/>
  <c r="J34" i="1"/>
  <c r="J33" i="1"/>
  <c r="J32" i="1"/>
  <c r="J4" i="1"/>
  <c r="L12" i="1" l="1"/>
  <c r="N35" i="1"/>
  <c r="M35" i="1"/>
  <c r="N34" i="1"/>
  <c r="M34" i="1"/>
  <c r="N33" i="1"/>
  <c r="M33" i="1"/>
  <c r="N32" i="1"/>
  <c r="M32" i="1"/>
  <c r="L32" i="1"/>
  <c r="L33" i="1"/>
  <c r="L34" i="1"/>
  <c r="L35" i="1"/>
  <c r="N28" i="1"/>
  <c r="M28" i="1"/>
  <c r="N27" i="1"/>
  <c r="M27" i="1"/>
  <c r="N26" i="1"/>
  <c r="M26" i="1"/>
  <c r="N25" i="1"/>
  <c r="M25" i="1"/>
  <c r="L25" i="1"/>
  <c r="L26" i="1"/>
  <c r="L27" i="1"/>
  <c r="L28" i="1"/>
  <c r="N21" i="1"/>
  <c r="M21" i="1"/>
  <c r="N20" i="1"/>
  <c r="M20" i="1"/>
  <c r="N19" i="1"/>
  <c r="M19" i="1"/>
  <c r="N18" i="1"/>
  <c r="M18" i="1"/>
  <c r="L18" i="1"/>
  <c r="L19" i="1"/>
  <c r="L20" i="1"/>
  <c r="L21" i="1"/>
  <c r="N14" i="1"/>
  <c r="M14" i="1"/>
  <c r="N13" i="1"/>
  <c r="M13" i="1"/>
  <c r="N12" i="1"/>
  <c r="M12" i="1"/>
  <c r="N11" i="1"/>
  <c r="M11" i="1"/>
  <c r="L11" i="1"/>
  <c r="L13" i="1"/>
  <c r="L14" i="1"/>
  <c r="B21" i="1" l="1"/>
  <c r="B27" i="1"/>
  <c r="B35" i="1"/>
  <c r="B12" i="1"/>
  <c r="B19" i="1"/>
  <c r="B25" i="1"/>
  <c r="B33" i="1"/>
  <c r="B13" i="1"/>
  <c r="B11" i="1"/>
  <c r="B14" i="1"/>
  <c r="B20" i="1"/>
  <c r="B18" i="1"/>
  <c r="B28" i="1"/>
  <c r="B26" i="1"/>
  <c r="B34" i="1"/>
  <c r="B32" i="1"/>
  <c r="K5" i="1"/>
  <c r="K6" i="1"/>
  <c r="K7" i="1"/>
  <c r="A21" i="1" l="1"/>
  <c r="A19" i="1"/>
  <c r="A14" i="1"/>
  <c r="A28" i="1"/>
  <c r="A35" i="1"/>
  <c r="A11" i="1"/>
  <c r="A25" i="1"/>
  <c r="A32" i="1"/>
  <c r="A13" i="1"/>
  <c r="A27" i="1"/>
  <c r="A34" i="1"/>
  <c r="A12" i="1"/>
  <c r="A26" i="1"/>
  <c r="A33" i="1"/>
  <c r="A20" i="1"/>
  <c r="A18" i="1"/>
  <c r="K4" i="1"/>
  <c r="J7" i="1"/>
  <c r="J6" i="1"/>
  <c r="J5" i="1"/>
  <c r="B18" i="2" l="1"/>
  <c r="B20" i="2"/>
  <c r="C48" i="1" s="1"/>
  <c r="B19" i="2"/>
  <c r="B21" i="2"/>
  <c r="B11" i="2"/>
  <c r="B13" i="2"/>
  <c r="C47" i="1" s="1"/>
  <c r="B12" i="2"/>
  <c r="B14" i="2"/>
  <c r="E33" i="2"/>
  <c r="I35" i="2"/>
  <c r="F25" i="2"/>
  <c r="H26" i="2"/>
  <c r="C26" i="2"/>
  <c r="I26" i="2"/>
  <c r="B28" i="2"/>
  <c r="F26" i="2"/>
  <c r="C25" i="2"/>
  <c r="G26" i="2"/>
  <c r="F14" i="2"/>
  <c r="G25" i="2"/>
  <c r="D26" i="2"/>
  <c r="B25" i="2"/>
  <c r="A9" i="6" s="1"/>
  <c r="E26" i="2"/>
  <c r="G12" i="2"/>
  <c r="I13" i="2"/>
  <c r="J47" i="1" s="1"/>
  <c r="A13" i="6"/>
  <c r="D13" i="2"/>
  <c r="E47" i="1" s="1"/>
  <c r="D12" i="2"/>
  <c r="I14" i="2"/>
  <c r="G11" i="2"/>
  <c r="F11" i="2"/>
  <c r="H13" i="2"/>
  <c r="I47" i="1" s="1"/>
  <c r="H12" i="2"/>
  <c r="C12" i="2"/>
  <c r="E14" i="2"/>
  <c r="C11" i="2"/>
  <c r="E13" i="2"/>
  <c r="F47" i="1" s="1"/>
  <c r="I28" i="2"/>
  <c r="B26" i="2"/>
  <c r="E21" i="6" s="1"/>
  <c r="E25" i="2"/>
  <c r="I25" i="2"/>
  <c r="C27" i="2"/>
  <c r="D49" i="1" s="1"/>
  <c r="D27" i="2"/>
  <c r="E49" i="1" s="1"/>
  <c r="E27" i="2"/>
  <c r="F49" i="1" s="1"/>
  <c r="F27" i="2"/>
  <c r="G49" i="1" s="1"/>
  <c r="G27" i="2"/>
  <c r="H49" i="1" s="1"/>
  <c r="H27" i="2"/>
  <c r="I49" i="1" s="1"/>
  <c r="I27" i="2"/>
  <c r="J49" i="1" s="1"/>
  <c r="B27" i="2"/>
  <c r="C49" i="1" s="1"/>
  <c r="D25" i="2"/>
  <c r="H25" i="2"/>
  <c r="C28" i="2"/>
  <c r="D28" i="2"/>
  <c r="E28" i="2"/>
  <c r="F28" i="2"/>
  <c r="G28" i="2"/>
  <c r="H28" i="2"/>
  <c r="D11" i="2"/>
  <c r="H11" i="2"/>
  <c r="E12" i="2"/>
  <c r="I12" i="2"/>
  <c r="F13" i="2"/>
  <c r="G47" i="1" s="1"/>
  <c r="C14" i="2"/>
  <c r="G14" i="2"/>
  <c r="A29" i="6"/>
  <c r="E11" i="2"/>
  <c r="I11" i="2"/>
  <c r="F12" i="2"/>
  <c r="C13" i="2"/>
  <c r="D47" i="1" s="1"/>
  <c r="G13" i="2"/>
  <c r="H47" i="1" s="1"/>
  <c r="D14" i="2"/>
  <c r="H14" i="2"/>
  <c r="B35" i="2"/>
  <c r="C32" i="2"/>
  <c r="G32" i="2"/>
  <c r="B32" i="2"/>
  <c r="A21" i="6" s="1"/>
  <c r="F32" i="2"/>
  <c r="C33" i="2"/>
  <c r="D33" i="2"/>
  <c r="F33" i="2"/>
  <c r="G33" i="2"/>
  <c r="H33" i="2"/>
  <c r="I33" i="2"/>
  <c r="I21" i="2"/>
  <c r="I19" i="2"/>
  <c r="H21" i="2"/>
  <c r="H19" i="2"/>
  <c r="G21" i="2"/>
  <c r="G19" i="2"/>
  <c r="F21" i="2"/>
  <c r="F19" i="2"/>
  <c r="E21" i="2"/>
  <c r="E19" i="2"/>
  <c r="D21" i="2"/>
  <c r="D19" i="2"/>
  <c r="C21" i="2"/>
  <c r="C19" i="2"/>
  <c r="H18" i="2"/>
  <c r="F18" i="2"/>
  <c r="D18" i="2"/>
  <c r="A25" i="6"/>
  <c r="I20" i="2"/>
  <c r="J48" i="1" s="1"/>
  <c r="H20" i="2"/>
  <c r="I48" i="1" s="1"/>
  <c r="G20" i="2"/>
  <c r="H48" i="1" s="1"/>
  <c r="F20" i="2"/>
  <c r="G48" i="1" s="1"/>
  <c r="E20" i="2"/>
  <c r="F48" i="1" s="1"/>
  <c r="D20" i="2"/>
  <c r="E48" i="1" s="1"/>
  <c r="C20" i="2"/>
  <c r="D48" i="1" s="1"/>
  <c r="I18" i="2"/>
  <c r="G18" i="2"/>
  <c r="E18" i="2"/>
  <c r="C18" i="2"/>
  <c r="B33" i="2"/>
  <c r="E17" i="6" s="1"/>
  <c r="E32" i="2"/>
  <c r="I32" i="2"/>
  <c r="C34" i="2"/>
  <c r="D50" i="1" s="1"/>
  <c r="D34" i="2"/>
  <c r="E50" i="1" s="1"/>
  <c r="E34" i="2"/>
  <c r="F50" i="1" s="1"/>
  <c r="F34" i="2"/>
  <c r="G50" i="1" s="1"/>
  <c r="G34" i="2"/>
  <c r="H50" i="1" s="1"/>
  <c r="H34" i="2"/>
  <c r="I50" i="1" s="1"/>
  <c r="I34" i="2"/>
  <c r="J50" i="1" s="1"/>
  <c r="B34" i="2"/>
  <c r="C50" i="1" s="1"/>
  <c r="D32" i="2"/>
  <c r="H32" i="2"/>
  <c r="C35" i="2"/>
  <c r="D35" i="2"/>
  <c r="E35" i="2"/>
  <c r="F35" i="2"/>
  <c r="G35" i="2"/>
  <c r="H35" i="2"/>
  <c r="L6" i="1"/>
  <c r="L7" i="1"/>
  <c r="L5" i="1"/>
  <c r="M5" i="1"/>
  <c r="M4" i="1"/>
  <c r="L4" i="1"/>
  <c r="M6" i="1"/>
  <c r="N4" i="1"/>
  <c r="M7" i="1"/>
  <c r="N7" i="1"/>
  <c r="N6" i="1"/>
  <c r="N5" i="1"/>
  <c r="E5" i="6" l="1"/>
  <c r="J11" i="2"/>
  <c r="J26" i="2"/>
  <c r="J12" i="2"/>
  <c r="J13" i="2"/>
  <c r="K47" i="1" s="1"/>
  <c r="J25" i="2"/>
  <c r="J18" i="2"/>
  <c r="J19" i="2"/>
  <c r="J20" i="2"/>
  <c r="K48" i="1" s="1"/>
  <c r="J21" i="2"/>
  <c r="J28" i="2"/>
  <c r="J27" i="2"/>
  <c r="K49" i="1" s="1"/>
  <c r="J14" i="2"/>
  <c r="J32" i="2"/>
  <c r="J35" i="2"/>
  <c r="J34" i="2"/>
  <c r="K50" i="1" s="1"/>
  <c r="J33" i="2"/>
  <c r="B4" i="1"/>
  <c r="B5" i="1"/>
  <c r="B7" i="1"/>
  <c r="B6" i="1"/>
  <c r="A5" i="1" l="1"/>
  <c r="A6" i="1"/>
  <c r="A7" i="1"/>
  <c r="A4" i="1"/>
  <c r="G4" i="2" l="1"/>
  <c r="B6" i="2"/>
  <c r="C46" i="1" s="1"/>
  <c r="B4" i="2"/>
  <c r="A33" i="6" s="1"/>
  <c r="B5" i="2"/>
  <c r="B7" i="2"/>
  <c r="D5" i="2"/>
  <c r="G6" i="2"/>
  <c r="H46" i="1" s="1"/>
  <c r="I4" i="2"/>
  <c r="C4" i="2"/>
  <c r="C6" i="2"/>
  <c r="D46" i="1" s="1"/>
  <c r="E7" i="2"/>
  <c r="D7" i="2"/>
  <c r="G5" i="2"/>
  <c r="D4" i="2"/>
  <c r="D6" i="2"/>
  <c r="E46" i="1" s="1"/>
  <c r="I6" i="2"/>
  <c r="J46" i="1" s="1"/>
  <c r="F5" i="2"/>
  <c r="C7" i="2"/>
  <c r="F6" i="2"/>
  <c r="G46" i="1" s="1"/>
  <c r="G7" i="2"/>
  <c r="E6" i="2"/>
  <c r="F46" i="1" s="1"/>
  <c r="H4" i="2"/>
  <c r="H6" i="2"/>
  <c r="I46" i="1" s="1"/>
  <c r="E4" i="2"/>
  <c r="F7" i="2"/>
  <c r="H5" i="2"/>
  <c r="H7" i="2"/>
  <c r="C5" i="2"/>
  <c r="F4" i="2"/>
  <c r="I5" i="2"/>
  <c r="I7" i="2"/>
  <c r="E5" i="2"/>
  <c r="L48" i="1" l="1"/>
  <c r="L47" i="1"/>
  <c r="L50" i="1"/>
  <c r="L51" i="1"/>
  <c r="L49" i="1"/>
  <c r="L46" i="1"/>
  <c r="A5" i="6"/>
  <c r="J4" i="2"/>
  <c r="J6" i="2"/>
  <c r="K46" i="1" s="1"/>
  <c r="N48" i="1" s="1"/>
  <c r="J7" i="2"/>
  <c r="J5" i="2"/>
  <c r="N46" i="1" l="1"/>
  <c r="N47" i="1"/>
  <c r="M48" i="1"/>
  <c r="B48" i="1" s="1"/>
  <c r="N50" i="1"/>
  <c r="M49" i="1"/>
  <c r="M51" i="1"/>
  <c r="M46" i="1"/>
  <c r="N51" i="1"/>
  <c r="B51" i="1" s="1"/>
  <c r="N49" i="1"/>
  <c r="M47" i="1"/>
  <c r="B47" i="1" s="1"/>
  <c r="M50" i="1"/>
  <c r="B50" i="1" s="1"/>
  <c r="B49" i="1"/>
  <c r="B46" i="1" l="1"/>
  <c r="A46" i="1" s="1"/>
  <c r="A51" i="1" l="1"/>
  <c r="A47" i="1"/>
  <c r="A48" i="1"/>
  <c r="A50" i="1"/>
  <c r="E47" i="2" s="1"/>
  <c r="A49" i="1"/>
  <c r="I48" i="2" l="1"/>
  <c r="C51" i="2"/>
  <c r="I50" i="2"/>
  <c r="I46" i="2"/>
  <c r="G50" i="2"/>
  <c r="D48" i="2"/>
  <c r="I47" i="2"/>
  <c r="G51" i="2"/>
  <c r="D49" i="2"/>
  <c r="K48" i="2"/>
  <c r="D18" i="10" s="1"/>
  <c r="G46" i="2"/>
  <c r="E50" i="2"/>
  <c r="B48" i="2"/>
  <c r="G47" i="2"/>
  <c r="E51" i="2"/>
  <c r="B49" i="2"/>
  <c r="C49" i="2"/>
  <c r="H47" i="2"/>
  <c r="C48" i="2"/>
  <c r="F50" i="2"/>
  <c r="H46" i="2"/>
  <c r="K49" i="2"/>
  <c r="E18" i="10" s="1"/>
  <c r="D51" i="2"/>
  <c r="F47" i="2"/>
  <c r="I49" i="2"/>
  <c r="D50" i="2"/>
  <c r="F46" i="2"/>
  <c r="K47" i="2"/>
  <c r="C18" i="10" s="1"/>
  <c r="K51" i="2"/>
  <c r="H48" i="2"/>
  <c r="E46" i="2"/>
  <c r="C50" i="2"/>
  <c r="H49" i="2"/>
  <c r="F48" i="2"/>
  <c r="C46" i="2"/>
  <c r="I51" i="2"/>
  <c r="F49" i="2"/>
  <c r="C47" i="2"/>
  <c r="B51" i="2"/>
  <c r="D47" i="2"/>
  <c r="G49" i="2"/>
  <c r="J49" i="2" s="1"/>
  <c r="B50" i="2"/>
  <c r="D46" i="2"/>
  <c r="G48" i="2"/>
  <c r="K50" i="2"/>
  <c r="B47" i="2"/>
  <c r="E49" i="2"/>
  <c r="H51" i="2"/>
  <c r="B46" i="2"/>
  <c r="E48" i="2"/>
  <c r="H50" i="2"/>
  <c r="K46" i="2"/>
  <c r="B18" i="10" s="1"/>
  <c r="F8" i="10" l="1"/>
  <c r="F11" i="10"/>
  <c r="F9" i="10"/>
  <c r="F4" i="10"/>
  <c r="F13" i="10"/>
  <c r="F5" i="10"/>
  <c r="F14" i="10"/>
  <c r="F16" i="10"/>
  <c r="F7" i="10"/>
  <c r="F15" i="10"/>
  <c r="F6" i="10"/>
  <c r="F12" i="10"/>
  <c r="F3" i="10"/>
  <c r="F10" i="10"/>
  <c r="J48" i="2"/>
  <c r="J46" i="2"/>
  <c r="J50" i="2"/>
  <c r="J47" i="2"/>
  <c r="F2" i="10"/>
  <c r="J51" i="2"/>
  <c r="L2" i="10" l="1"/>
  <c r="E9" i="6" s="1"/>
  <c r="I2" i="10"/>
  <c r="E33" i="6" s="1"/>
  <c r="J2" i="10"/>
  <c r="E13" i="6" s="1"/>
  <c r="K2" i="10"/>
  <c r="E25" i="6" s="1"/>
</calcChain>
</file>

<file path=xl/sharedStrings.xml><?xml version="1.0" encoding="utf-8"?>
<sst xmlns="http://schemas.openxmlformats.org/spreadsheetml/2006/main" count="908" uniqueCount="112">
  <si>
    <t>Rank</t>
  </si>
  <si>
    <t>Team</t>
  </si>
  <si>
    <t>P</t>
  </si>
  <si>
    <t>W</t>
  </si>
  <si>
    <t>L</t>
  </si>
  <si>
    <t>D</t>
  </si>
  <si>
    <t>F</t>
  </si>
  <si>
    <t>A</t>
  </si>
  <si>
    <t>Pts</t>
  </si>
  <si>
    <t>GD</t>
  </si>
  <si>
    <t>-</t>
  </si>
  <si>
    <t>Position</t>
  </si>
  <si>
    <t>Win</t>
  </si>
  <si>
    <t>Draw</t>
  </si>
  <si>
    <t>Points</t>
  </si>
  <si>
    <t>Rank Ties</t>
  </si>
  <si>
    <t>Penalty Points</t>
  </si>
  <si>
    <t>Rank1</t>
  </si>
  <si>
    <t>Goal Difference</t>
  </si>
  <si>
    <t>Goals Scored</t>
  </si>
  <si>
    <t>Home
Team</t>
  </si>
  <si>
    <t>Home
Score</t>
  </si>
  <si>
    <t>V</t>
  </si>
  <si>
    <t>Away
Score</t>
  </si>
  <si>
    <t>Away
Team</t>
  </si>
  <si>
    <t>Division</t>
  </si>
  <si>
    <t>Divison</t>
  </si>
  <si>
    <t>Group 6</t>
  </si>
  <si>
    <t>Group 5</t>
  </si>
  <si>
    <t>Group 4</t>
  </si>
  <si>
    <t>Group 3</t>
  </si>
  <si>
    <t>Group 2</t>
  </si>
  <si>
    <t>Group 1</t>
  </si>
  <si>
    <t>Cameroon</t>
  </si>
  <si>
    <t>Nigeria</t>
  </si>
  <si>
    <t>Australia</t>
  </si>
  <si>
    <t>China</t>
  </si>
  <si>
    <t>Japan</t>
  </si>
  <si>
    <t>Korea Republic</t>
  </si>
  <si>
    <t>Thailand</t>
  </si>
  <si>
    <t>England</t>
  </si>
  <si>
    <t>France</t>
  </si>
  <si>
    <t>Germany</t>
  </si>
  <si>
    <t>Netherlands</t>
  </si>
  <si>
    <t>Norway</t>
  </si>
  <si>
    <t>Spain</t>
  </si>
  <si>
    <t>Sweden</t>
  </si>
  <si>
    <t>Switzerland</t>
  </si>
  <si>
    <t>Canada</t>
  </si>
  <si>
    <t>Costa Rica</t>
  </si>
  <si>
    <t>Mexico</t>
  </si>
  <si>
    <t>USA</t>
  </si>
  <si>
    <t>New Zealand</t>
  </si>
  <si>
    <t>Brazil</t>
  </si>
  <si>
    <t>Colombia</t>
  </si>
  <si>
    <t>Ecuador</t>
  </si>
  <si>
    <t>June 7th</t>
  </si>
  <si>
    <t>Cote D'Ivoire</t>
  </si>
  <si>
    <t>June 8th</t>
  </si>
  <si>
    <t>June 9th</t>
  </si>
  <si>
    <t>Group A</t>
  </si>
  <si>
    <t>Group B</t>
  </si>
  <si>
    <t>Group C</t>
  </si>
  <si>
    <t>Group D</t>
  </si>
  <si>
    <t>Group E</t>
  </si>
  <si>
    <t>Group F</t>
  </si>
  <si>
    <t>June 6th</t>
  </si>
  <si>
    <t>Round 16</t>
  </si>
  <si>
    <t>Third Place Rankings</t>
  </si>
  <si>
    <t>A B C D</t>
  </si>
  <si>
    <t>A B C E</t>
  </si>
  <si>
    <t>A B C F</t>
  </si>
  <si>
    <t>A B D E</t>
  </si>
  <si>
    <t>A B D F</t>
  </si>
  <si>
    <t>A B E F</t>
  </si>
  <si>
    <t>A C D E</t>
  </si>
  <si>
    <t>A C D F</t>
  </si>
  <si>
    <t>A C E F</t>
  </si>
  <si>
    <t>A D E F</t>
  </si>
  <si>
    <t>B C D E</t>
  </si>
  <si>
    <t>B C D F</t>
  </si>
  <si>
    <t>B C E F</t>
  </si>
  <si>
    <t>B D E F</t>
  </si>
  <si>
    <t>C D E F</t>
  </si>
  <si>
    <t>Third Place Ranking</t>
  </si>
  <si>
    <t>C</t>
  </si>
  <si>
    <t>E</t>
  </si>
  <si>
    <t>B</t>
  </si>
  <si>
    <t>Group</t>
  </si>
  <si>
    <t>Top Four</t>
  </si>
  <si>
    <t>Correct Combination</t>
  </si>
  <si>
    <t>Winner
A</t>
  </si>
  <si>
    <t>Winner
B</t>
  </si>
  <si>
    <t>Winner
C</t>
  </si>
  <si>
    <t>Winner
D</t>
  </si>
  <si>
    <t>Extra Time</t>
  </si>
  <si>
    <t>Penalty Shootout</t>
  </si>
  <si>
    <t>June 10th</t>
  </si>
  <si>
    <t>June 11th</t>
  </si>
  <si>
    <t>June 12th</t>
  </si>
  <si>
    <t>June 13th</t>
  </si>
  <si>
    <t>Semi Finals</t>
  </si>
  <si>
    <t>Quarter Finals</t>
  </si>
  <si>
    <t>Final</t>
  </si>
  <si>
    <t>Third Place Play Off</t>
  </si>
  <si>
    <t>June 14th</t>
  </si>
  <si>
    <t>June 15th</t>
  </si>
  <si>
    <t>South Korea</t>
  </si>
  <si>
    <t>June 16th</t>
  </si>
  <si>
    <t>June 17th</t>
  </si>
  <si>
    <t>June 18th</t>
  </si>
  <si>
    <t>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</si>
</sst>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 tint="-4.9989318521683403E-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4" borderId="7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20" fontId="3" fillId="3" borderId="6" xfId="0" applyNumberFormat="1" applyFont="1" applyFill="1" applyBorder="1" applyAlignment="1" applyProtection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20" fontId="3" fillId="3" borderId="12" xfId="0" applyNumberFormat="1" applyFont="1" applyFill="1" applyBorder="1" applyAlignment="1" applyProtection="1">
      <alignment horizontal="center"/>
    </xf>
    <xf numFmtId="0" fontId="3" fillId="5" borderId="19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 vertical="center"/>
    </xf>
    <xf numFmtId="0" fontId="3" fillId="0" borderId="0" xfId="0" applyFont="1"/>
    <xf numFmtId="20" fontId="3" fillId="9" borderId="3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20" fontId="3" fillId="3" borderId="23" xfId="0" applyNumberFormat="1" applyFont="1" applyFill="1" applyBorder="1" applyAlignment="1">
      <alignment horizontal="center"/>
    </xf>
    <xf numFmtId="0" fontId="3" fillId="4" borderId="6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20" fontId="3" fillId="9" borderId="3" xfId="0" applyNumberFormat="1" applyFont="1" applyFill="1" applyBorder="1" applyAlignment="1" applyProtection="1">
      <alignment horizontal="center"/>
    </xf>
    <xf numFmtId="20" fontId="3" fillId="9" borderId="3" xfId="0" applyNumberFormat="1" applyFont="1" applyFill="1" applyBorder="1" applyAlignment="1" applyProtection="1">
      <alignment horizontal="center"/>
    </xf>
    <xf numFmtId="0" fontId="3" fillId="11" borderId="24" xfId="0" applyFont="1" applyFill="1" applyBorder="1" applyAlignment="1">
      <alignment horizontal="center"/>
    </xf>
    <xf numFmtId="0" fontId="3" fillId="11" borderId="24" xfId="0" applyNumberFormat="1" applyFont="1" applyFill="1" applyBorder="1" applyAlignment="1">
      <alignment horizontal="center"/>
    </xf>
    <xf numFmtId="0" fontId="3" fillId="13" borderId="25" xfId="0" applyNumberFormat="1" applyFont="1" applyFill="1" applyBorder="1" applyAlignment="1">
      <alignment horizontal="right"/>
    </xf>
    <xf numFmtId="0" fontId="3" fillId="13" borderId="25" xfId="0" applyFont="1" applyFill="1" applyBorder="1" applyAlignment="1">
      <alignment horizontal="center"/>
    </xf>
    <xf numFmtId="0" fontId="3" fillId="11" borderId="24" xfId="0" applyNumberFormat="1" applyFont="1" applyFill="1" applyBorder="1" applyAlignment="1">
      <alignment horizontal="right"/>
    </xf>
    <xf numFmtId="0" fontId="3" fillId="13" borderId="24" xfId="0" applyNumberFormat="1" applyFont="1" applyFill="1" applyBorder="1" applyAlignment="1">
      <alignment horizontal="right"/>
    </xf>
    <xf numFmtId="0" fontId="3" fillId="13" borderId="24" xfId="0" applyFont="1" applyFill="1" applyBorder="1" applyAlignment="1">
      <alignment horizontal="center"/>
    </xf>
    <xf numFmtId="0" fontId="3" fillId="13" borderId="26" xfId="0" applyFont="1" applyFill="1" applyBorder="1" applyAlignment="1">
      <alignment horizontal="right"/>
    </xf>
    <xf numFmtId="0" fontId="3" fillId="11" borderId="27" xfId="0" applyFont="1" applyFill="1" applyBorder="1" applyAlignment="1">
      <alignment horizontal="right"/>
    </xf>
    <xf numFmtId="0" fontId="3" fillId="13" borderId="27" xfId="0" applyFont="1" applyFill="1" applyBorder="1" applyAlignment="1">
      <alignment horizontal="right"/>
    </xf>
    <xf numFmtId="0" fontId="3" fillId="13" borderId="25" xfId="0" applyNumberFormat="1" applyFont="1" applyFill="1" applyBorder="1" applyAlignment="1">
      <alignment horizontal="center"/>
    </xf>
    <xf numFmtId="0" fontId="3" fillId="13" borderId="24" xfId="0" applyNumberFormat="1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right"/>
    </xf>
    <xf numFmtId="0" fontId="3" fillId="13" borderId="29" xfId="0" applyFont="1" applyFill="1" applyBorder="1" applyAlignment="1">
      <alignment horizontal="right"/>
    </xf>
    <xf numFmtId="0" fontId="3" fillId="13" borderId="24" xfId="0" applyFont="1" applyFill="1" applyBorder="1" applyAlignment="1">
      <alignment horizontal="right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5" fillId="0" borderId="0" xfId="0" applyFont="1"/>
    <xf numFmtId="0" fontId="3" fillId="6" borderId="20" xfId="0" applyFont="1" applyFill="1" applyBorder="1" applyAlignment="1">
      <alignment horizontal="center" vertical="center" textRotation="90"/>
    </xf>
    <xf numFmtId="0" fontId="0" fillId="6" borderId="21" xfId="0" applyFill="1" applyBorder="1" applyAlignment="1">
      <alignment vertical="center" textRotation="90"/>
    </xf>
    <xf numFmtId="0" fontId="0" fillId="6" borderId="22" xfId="0" applyFill="1" applyBorder="1" applyAlignment="1">
      <alignment vertical="center" textRotation="90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20" fontId="3" fillId="9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6" borderId="31" xfId="0" applyFont="1" applyFill="1" applyBorder="1" applyAlignment="1">
      <alignment horizontal="center" vertical="center"/>
    </xf>
    <xf numFmtId="0" fontId="2" fillId="16" borderId="30" xfId="0" applyFont="1" applyFill="1" applyBorder="1" applyAlignment="1">
      <alignment horizontal="center" vertical="center"/>
    </xf>
    <xf numFmtId="0" fontId="2" fillId="16" borderId="32" xfId="0" applyFont="1" applyFill="1" applyBorder="1" applyAlignment="1">
      <alignment horizontal="center" vertical="center"/>
    </xf>
    <xf numFmtId="0" fontId="2" fillId="16" borderId="33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/>
    </xf>
    <xf numFmtId="0" fontId="2" fillId="16" borderId="37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</cellXfs>
  <cellStyles count="1">
    <cellStyle name="Normal" xfId="0" builtinId="0"/>
  </cellStyles>
  <dxfs count="199">
    <dxf>
      <numFmt numFmtId="0" formatCode="General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Fixtures" displayName="Fixtures" ref="A1:E1048575" totalsRowShown="0" headerRowDxfId="198" dataDxfId="196" headerRowBorderDxfId="197" tableBorderDxfId="195">
  <tableColumns count="5">
    <tableColumn id="1" name="Home_x000a_Team" dataDxfId="194"/>
    <tableColumn id="3" name="Home_x000a_Score" dataDxfId="193"/>
    <tableColumn id="4" name="V" dataDxfId="192"/>
    <tableColumn id="5" name="Away_x000a_Score" dataDxfId="191"/>
    <tableColumn id="7" name="Away_x000a_Team" dataDxfId="19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8" name="League_TableD" displayName="League_TableD" ref="A24:J28" totalsRowShown="0" headerRowDxfId="62" dataDxfId="60" headerRowBorderDxfId="61" tableBorderDxfId="59">
  <tableColumns count="10">
    <tableColumn id="1" name="Position" dataDxfId="58"/>
    <tableColumn id="2" name="Team" dataDxfId="57">
      <calculatedColumnFormula>VLOOKUP(SMALL(Group4[Rank Ties],League_TableD[[#This Row],[Position]]),Group4[],3,FALSE)</calculatedColumnFormula>
    </tableColumn>
    <tableColumn id="3" name="P" dataDxfId="56"/>
    <tableColumn id="4" name="W" dataDxfId="55"/>
    <tableColumn id="5" name="L" dataDxfId="54"/>
    <tableColumn id="6" name="D" dataDxfId="53"/>
    <tableColumn id="7" name="F" dataDxfId="52"/>
    <tableColumn id="8" name="A" dataDxfId="51"/>
    <tableColumn id="9" name="Pts" dataDxfId="50"/>
    <tableColumn id="10" name="GD" dataDxfId="49">
      <calculatedColumnFormula>G25-H25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League_TableE" displayName="League_TableE" ref="A31:J35" totalsRowShown="0" headerRowDxfId="48" dataDxfId="46" headerRowBorderDxfId="47" tableBorderDxfId="45">
  <tableColumns count="10">
    <tableColumn id="1" name="Position" dataDxfId="44"/>
    <tableColumn id="2" name="Team" dataDxfId="43">
      <calculatedColumnFormula>VLOOKUP(SMALL(Group5[Rank Ties],League_TableE[[#This Row],[Position]]),Group5[],3,FALSE)</calculatedColumnFormula>
    </tableColumn>
    <tableColumn id="3" name="P" dataDxfId="42"/>
    <tableColumn id="4" name="W" dataDxfId="41"/>
    <tableColumn id="5" name="L" dataDxfId="40"/>
    <tableColumn id="6" name="D" dataDxfId="39"/>
    <tableColumn id="7" name="F" dataDxfId="38"/>
    <tableColumn id="8" name="A" dataDxfId="37"/>
    <tableColumn id="9" name="Pts" dataDxfId="36"/>
    <tableColumn id="10" name="GD" dataDxfId="35">
      <calculatedColumnFormula>G32-H32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30" name="League_TableF" displayName="League_TableF" ref="A38:J42" totalsRowShown="0" headerRowDxfId="34" dataDxfId="32" headerRowBorderDxfId="33" tableBorderDxfId="31">
  <tableColumns count="10">
    <tableColumn id="1" name="Position" dataDxfId="30"/>
    <tableColumn id="2" name="Team" dataDxfId="29">
      <calculatedColumnFormula>VLOOKUP(SMALL(Group6[Rank Ties],League_TableF[[#This Row],[Position]]),Group6[],3,FALSE)</calculatedColumnFormula>
    </tableColumn>
    <tableColumn id="3" name="P" dataDxfId="28">
      <calculatedColumnFormula>VLOOKUP(SMALL(Group6[Rank Ties],League_TableF[[#This Row],[Position]]),Group6[],4,FALSE)</calculatedColumnFormula>
    </tableColumn>
    <tableColumn id="4" name="W" dataDxfId="27">
      <calculatedColumnFormula>VLOOKUP(SMALL(Group6[Rank Ties],League_TableF[[#This Row],[Position]]),Group6[],5,FALSE)</calculatedColumnFormula>
    </tableColumn>
    <tableColumn id="5" name="L" dataDxfId="26">
      <calculatedColumnFormula>VLOOKUP(SMALL(Group6[Rank Ties],League_TableF[[#This Row],[Position]]),Group6[],6,FALSE)</calculatedColumnFormula>
    </tableColumn>
    <tableColumn id="6" name="D" dataDxfId="25">
      <calculatedColumnFormula>VLOOKUP(SMALL(Group6[Rank Ties],League_TableF[[#This Row],[Position]]),Group6[],7,FALSE)</calculatedColumnFormula>
    </tableColumn>
    <tableColumn id="7" name="F" dataDxfId="24">
      <calculatedColumnFormula>IFERROR(VLOOKUP(SMALL(Group6[Rank Ties],League_TableF[[#This Row],[Position]]),Group6[],8,FALSE),0)</calculatedColumnFormula>
    </tableColumn>
    <tableColumn id="8" name="A" dataDxfId="23">
      <calculatedColumnFormula>IFERROR(VLOOKUP(SMALL(Group6[Rank Ties],League_TableF[[#This Row],[Position]]),Group6[],9,FALSE),0)</calculatedColumnFormula>
    </tableColumn>
    <tableColumn id="9" name="Pts" dataDxfId="22">
      <calculatedColumnFormula>IFERROR(VLOOKUP(SMALL(Group6[Rank Ties],League_TableF[[#This Row],[Position]]),Group6[],10,FALSE),0)</calculatedColumnFormula>
    </tableColumn>
    <tableColumn id="10" name="GD" dataDxfId="21">
      <calculatedColumnFormula>G39-H39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8" name="League_Table_Third_place" displayName="League_Table_Third_place" ref="A45:K51" totalsRowShown="0" headerRowDxfId="20" dataDxfId="18" headerRowBorderDxfId="19" tableBorderDxfId="17">
  <tableColumns count="11">
    <tableColumn id="1" name="Position" dataDxfId="16"/>
    <tableColumn id="2" name="Team" dataDxfId="15">
      <calculatedColumnFormula>VLOOKUP(SMALL(GroupThirdPlace[Rank Ties],League_Table_Third_place[[#This Row],[Position]]),GroupThirdPlace[#All],3,FALSE)</calculatedColumnFormula>
    </tableColumn>
    <tableColumn id="3" name="P" dataDxfId="14">
      <calculatedColumnFormula>VLOOKUP(SMALL(GroupThirdPlace[Rank Ties],League_Table_Third_place[[#This Row],[Position]]),GroupThirdPlace[#All],4,FALSE)</calculatedColumnFormula>
    </tableColumn>
    <tableColumn id="4" name="W" dataDxfId="13">
      <calculatedColumnFormula>VLOOKUP(SMALL(GroupThirdPlace[Rank Ties],League_Table_Third_place[[#This Row],[Position]]),GroupThirdPlace[#All],5,FALSE)</calculatedColumnFormula>
    </tableColumn>
    <tableColumn id="5" name="L" dataDxfId="12">
      <calculatedColumnFormula>VLOOKUP(SMALL(GroupThirdPlace[Rank Ties],League_Table_Third_place[[#This Row],[Position]]),GroupThirdPlace[#All],6,FALSE)</calculatedColumnFormula>
    </tableColumn>
    <tableColumn id="6" name="D" dataDxfId="11">
      <calculatedColumnFormula>VLOOKUP(SMALL(GroupThirdPlace[Rank Ties],League_Table_Third_place[[#This Row],[Position]]),GroupThirdPlace[#All],7,FALSE)</calculatedColumnFormula>
    </tableColumn>
    <tableColumn id="7" name="F" dataDxfId="10">
      <calculatedColumnFormula>IFERROR(VLOOKUP(SMALL(GroupThirdPlace[Rank Ties],League_Table_Third_place[[#This Row],[Position]]),GroupThirdPlace[#All],8,FALSE),0)</calculatedColumnFormula>
    </tableColumn>
    <tableColumn id="8" name="A" dataDxfId="9">
      <calculatedColumnFormula>IFERROR(VLOOKUP(SMALL(GroupThirdPlace[Rank Ties],League_Table_Third_place[[#This Row],[Position]]),GroupThirdPlace[#All],9,FALSE),0)</calculatedColumnFormula>
    </tableColumn>
    <tableColumn id="9" name="Pts" dataDxfId="8">
      <calculatedColumnFormula>IFERROR(VLOOKUP(SMALL(GroupThirdPlace[Rank Ties],League_Table_Third_place[[#This Row],[Position]]),GroupThirdPlace[#All],10,FALSE),0)</calculatedColumnFormula>
    </tableColumn>
    <tableColumn id="10" name="GD" dataDxfId="7">
      <calculatedColumnFormula>G46-H46</calculatedColumnFormula>
    </tableColumn>
    <tableColumn id="11" name="Group" dataDxfId="6">
      <calculatedColumnFormula>IFERROR(VLOOKUP(SMALL(GroupThirdPlace[Rank Ties],League_Table_Third_place[[#This Row],[Position]]),GroupThirdPlace[#All],15,FALSE),0)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1" name="League_TableB" displayName="League_TableB" ref="A10:J14" totalsRowShown="0" headerRowDxfId="5" tableBorderDxfId="4">
  <tableColumns count="10">
    <tableColumn id="1" name="Position"/>
    <tableColumn id="2" name="Team" dataDxfId="3">
      <calculatedColumnFormula>VLOOKUP(SMALL(Group2[Rank Ties],League_TableB[[#This Row],[Position]]),Group2[],3,FALSE)</calculatedColumnFormula>
    </tableColumn>
    <tableColumn id="3" name="P">
      <calculatedColumnFormula>VLOOKUP(SMALL(Group2[Rank Ties],'Group League Tables'!$A11),Group2[],4,FALSE)</calculatedColumnFormula>
    </tableColumn>
    <tableColumn id="4" name="W">
      <calculatedColumnFormula>VLOOKUP(SMALL(Group2[Rank Ties],'Group League Tables'!$A11),Group2[],5,FALSE)</calculatedColumnFormula>
    </tableColumn>
    <tableColumn id="5" name="L">
      <calculatedColumnFormula>VLOOKUP(SMALL(Group2[Rank Ties],'Group League Tables'!$A11),Group2[],6,FALSE)</calculatedColumnFormula>
    </tableColumn>
    <tableColumn id="6" name="D">
      <calculatedColumnFormula>VLOOKUP(SMALL(Group2[Rank Ties],'Group League Tables'!$A11),Group2[],7,FALSE)</calculatedColumnFormula>
    </tableColumn>
    <tableColumn id="7" name="F">
      <calculatedColumnFormula>IFERROR(VLOOKUP(SMALL(Group2[Rank Ties],'Group League Tables'!$A11),Group2[],8,FALSE),0)</calculatedColumnFormula>
    </tableColumn>
    <tableColumn id="8" name="A">
      <calculatedColumnFormula>IFERROR(VLOOKUP(SMALL(Group2[Rank Ties],'Group League Tables'!$A11),Group2[],9,FALSE),0)</calculatedColumnFormula>
    </tableColumn>
    <tableColumn id="9" name="Pts">
      <calculatedColumnFormula>IFERROR(VLOOKUP(SMALL(Group2[Rank Ties],'Group League Tables'!$A11),Group2[],10,FALSE),0)</calculatedColumnFormula>
    </tableColumn>
    <tableColumn id="10" name="GD">
      <calculatedColumnFormula>G11-H11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2" name="League_TableC" displayName="League_TableC" ref="A17:J21" totalsRowShown="0" headerRowDxfId="2" tableBorderDxfId="1">
  <tableColumns count="10">
    <tableColumn id="1" name="Position"/>
    <tableColumn id="2" name="Team" dataDxfId="0">
      <calculatedColumnFormula>VLOOKUP(SMALL(Group3[Rank Ties],League_TableC[[#This Row],[Position]]),Group3[],3,FALSE)</calculatedColumnFormula>
    </tableColumn>
    <tableColumn id="3" name="P">
      <calculatedColumnFormula>VLOOKUP(SMALL(Group3[Rank Ties],'Group League Tables'!$A18),Group3[],4,FALSE)</calculatedColumnFormula>
    </tableColumn>
    <tableColumn id="4" name="W">
      <calculatedColumnFormula>VLOOKUP(SMALL(Group3[Rank Ties],'Group League Tables'!$A18),Group3[],5,FALSE)</calculatedColumnFormula>
    </tableColumn>
    <tableColumn id="5" name="L">
      <calculatedColumnFormula>VLOOKUP(SMALL(Group3[Rank Ties],'Group League Tables'!$A18),Group3[],6,FALSE)</calculatedColumnFormula>
    </tableColumn>
    <tableColumn id="6" name="D">
      <calculatedColumnFormula>VLOOKUP(SMALL(Group3[Rank Ties],'Group League Tables'!$A18),Group3[],7,FALSE)</calculatedColumnFormula>
    </tableColumn>
    <tableColumn id="7" name="F">
      <calculatedColumnFormula>IFERROR(VLOOKUP(SMALL(Group3[Rank Ties],'Group League Tables'!$A18),Group3[],8,FALSE),0)</calculatedColumnFormula>
    </tableColumn>
    <tableColumn id="8" name="A">
      <calculatedColumnFormula>IFERROR(VLOOKUP(SMALL(Group3[Rank Ties],'Group League Tables'!$A18),Group3[],9,FALSE),0)</calculatedColumnFormula>
    </tableColumn>
    <tableColumn id="9" name="Pts">
      <calculatedColumnFormula>IFERROR(VLOOKUP(SMALL(Group3[Rank Ties],'Group League Tables'!$A18),Group3[],10,FALSE),0)</calculatedColumnFormula>
    </tableColumn>
    <tableColumn id="10" name="GD">
      <calculatedColumnFormula>G18-H18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Group1" displayName="Group1" ref="A3:N7" totalsRowShown="0" headerRowDxfId="189" dataDxfId="188">
  <tableColumns count="14">
    <tableColumn id="1" name="Rank Ties" dataDxfId="187">
      <calculatedColumnFormula>IF(C4="","",RANK($B4,Group1[Rank],1)+COUNTIF($B$4:$B4,$B4)-1)</calculatedColumnFormula>
    </tableColumn>
    <tableColumn id="2" name="Rank" dataDxfId="186">
      <calculatedColumnFormula>L4+M4+N4</calculatedColumnFormula>
    </tableColumn>
    <tableColumn id="3" name="Team" dataDxfId="185">
      <calculatedColumnFormula>Teams!A2</calculatedColumnFormula>
    </tableColumn>
    <tableColumn id="4" name="P" dataDxfId="184">
      <calculatedColumnFormula>SUMPRODUCT((Fixtures[Home
Team]=Group1[[#This Row],[Team]])*(Fixtures[Home
Score]&lt;&gt;"")+(Fixtures[Away
Score]&lt;&gt;"")*(Fixtures[Away
Team]=Group1[[#This Row],[Team]]))</calculatedColumnFormula>
    </tableColumn>
    <tableColumn id="5" name="W" dataDxfId="183">
      <calculatedColumnFormula>SUMPRODUCT((Fixtures[Home
Team]=Group1[[#This Row],[Team]])*(Fixtures[Home
Score]&gt;Fixtures[Away
Score])+(Fixtures[Away
Score]&gt;Fixtures[Home
Score])*(Fixtures[Away
Team]=Group1[[#This Row],[Team]]))</calculatedColumnFormula>
    </tableColumn>
    <tableColumn id="6" name="L" dataDxfId="182">
      <calculatedColumnFormula>SUMPRODUCT((Fixtures[Home
Team]=Group1[[#This Row],[Team]])*(Fixtures[Home
Score]&lt;Fixtures[Away
Score])+(Fixtures[Away
Score]&lt;Fixtures[Home
Score])*(Fixtures[Away
Team]=Group1[[#This Row],[Team]]))</calculatedColumnFormula>
    </tableColumn>
    <tableColumn id="7" name="D" dataDxfId="181">
      <calculatedColumnFormula>SUMPRODUCT((Fixtures[Home
Team]=Group1[[#This Row],[Team]])*(Fixtures[Home
Score]=Fixtures[Away
Score])*(Fixtures[Home
Score]&lt;&gt;"")+(Fixtures[Away
Score]=Fixtures[Home
Score])*(Fixtures[Away
Team]=Group1[[#This Row],[Team]])*(Fixtures[Away
Score]&lt;&gt;""))</calculatedColumnFormula>
    </tableColumn>
    <tableColumn id="8" name="F" dataDxfId="180">
      <calculatedColumnFormula>SUMPRODUCT((Fixtures[Home
Team]=Group1[[#This Row],[Team]])*(Fixtures[Home
Score])+(Fixtures[Away
Team]=Group1[[#This Row],[Team]])*(Fixtures[Away
Score]))</calculatedColumnFormula>
    </tableColumn>
    <tableColumn id="9" name="A" dataDxfId="179">
      <calculatedColumnFormula>SUMPRODUCT((Fixtures[Home
Team]=Group1[[#This Row],[Team]])*(Fixtures[Away
Score])+(Fixtures[Away
Team]=Group1[[#This Row],[Team]])*(Fixtures[Home
Score]))</calculatedColumnFormula>
    </tableColumn>
    <tableColumn id="10" name="Pts" dataDxfId="178">
      <calculatedColumnFormula>$E4*Data!$B$2+$G4*Data!$B$3-Teams!$B2</calculatedColumnFormula>
    </tableColumn>
    <tableColumn id="11" name="GD" dataDxfId="177">
      <calculatedColumnFormula>H4-I4</calculatedColumnFormula>
    </tableColumn>
    <tableColumn id="12" name="Rank1" dataDxfId="176">
      <calculatedColumnFormula>RANK(J4,Group1[Pts])</calculatedColumnFormula>
    </tableColumn>
    <tableColumn id="13" name="Goal Difference" dataDxfId="175">
      <calculatedColumnFormula>SUMPRODUCT((Group1[Pts]=J4)*(Group1[GD]&gt;K4))</calculatedColumnFormula>
    </tableColumn>
    <tableColumn id="14" name="Goals Scored" dataDxfId="174">
      <calculatedColumnFormula>SUMPRODUCT((Group1[Pts]=J4)*(Group1[GD]=K4)*(Group1[F]&gt;H4))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Group2" displayName="Group2" ref="A10:N14" totalsRowShown="0" headerRowDxfId="173" dataDxfId="172">
  <tableColumns count="14">
    <tableColumn id="1" name="Rank Ties" dataDxfId="171">
      <calculatedColumnFormula>IF(C11="","",RANK($B11,Group2[Rank],1)+COUNTIF($B$11:$B11,$B11)-1)</calculatedColumnFormula>
    </tableColumn>
    <tableColumn id="2" name="Rank" dataDxfId="170">
      <calculatedColumnFormula>L11+M11+N11</calculatedColumnFormula>
    </tableColumn>
    <tableColumn id="3" name="Team" dataDxfId="169">
      <calculatedColumnFormula>Teams!A8</calculatedColumnFormula>
    </tableColumn>
    <tableColumn id="4" name="P" dataDxfId="168">
      <calculatedColumnFormula>SUMPRODUCT((Fixtures[Home
Team]=Group2[[#This Row],[Team]])*(Fixtures[Home
Score]&lt;&gt;"")+(Fixtures[Away
Score]&lt;&gt;"")*(Fixtures[Away
Team]=Group2[[#This Row],[Team]]))</calculatedColumnFormula>
    </tableColumn>
    <tableColumn id="5" name="W" dataDxfId="167">
      <calculatedColumnFormula>SUMPRODUCT((Fixtures[Home
Team]=Group2[[#This Row],[Team]])*(Fixtures[Home
Score]&gt;Fixtures[Away
Score])+(Fixtures[Away
Score]&gt;Fixtures[Home
Score])*(Fixtures[Away
Team]=Group2[[#This Row],[Team]]))</calculatedColumnFormula>
    </tableColumn>
    <tableColumn id="6" name="L" dataDxfId="166">
      <calculatedColumnFormula>SUMPRODUCT((Fixtures[Home
Team]=Group2[[#This Row],[Team]])*(Fixtures[Home
Score]&lt;Fixtures[Away
Score])+(Fixtures[Away
Score]&lt;Fixtures[Home
Score])*(Fixtures[Away
Team]=Group2[[#This Row],[Team]]))</calculatedColumnFormula>
    </tableColumn>
    <tableColumn id="7" name="D" dataDxfId="165">
      <calculatedColumnFormula>SUMPRODUCT((Fixtures[Home
Team]=Group2[[#This Row],[Team]])*(Fixtures[Home
Score]=Fixtures[Away
Score])*(Fixtures[Home
Score]&lt;&gt;"")+(Fixtures[Away
Score]=Fixtures[Home
Score])*(Fixtures[Away
Team]=Group2[[#This Row],[Team]])*(Fixtures[Away
Score]&lt;&gt;""))</calculatedColumnFormula>
    </tableColumn>
    <tableColumn id="8" name="F" dataDxfId="164">
      <calculatedColumnFormula>SUMPRODUCT((Fixtures[Home
Team]=Group2[[#This Row],[Team]])*(Fixtures[Home
Score])+(Fixtures[Away
Team]=Group2[[#This Row],[Team]])*(Fixtures[Away
Score]))</calculatedColumnFormula>
    </tableColumn>
    <tableColumn id="9" name="A" dataDxfId="163">
      <calculatedColumnFormula>SUMPRODUCT((Fixtures[Home
Team]=Group2[[#This Row],[Team]])*(Fixtures[Away
Score])+(Fixtures[Away
Team]=Group2[[#This Row],[Team]])*(Fixtures[Home
Score]))</calculatedColumnFormula>
    </tableColumn>
    <tableColumn id="10" name="Pts" dataDxfId="162">
      <calculatedColumnFormula>$E11*Data!$B$2+$G11*Data!$B$3-Teams!$B8</calculatedColumnFormula>
    </tableColumn>
    <tableColumn id="11" name="GD" dataDxfId="161">
      <calculatedColumnFormula>H11-I11</calculatedColumnFormula>
    </tableColumn>
    <tableColumn id="12" name="Rank1" dataDxfId="160">
      <calculatedColumnFormula>RANK(J11,Group2[Pts])</calculatedColumnFormula>
    </tableColumn>
    <tableColumn id="13" name="Goal Difference" dataDxfId="159">
      <calculatedColumnFormula>SUMPRODUCT((Group2[Pts]=J11)*(Group2[GD]&gt;K11))</calculatedColumnFormula>
    </tableColumn>
    <tableColumn id="14" name="Goals Scored" dataDxfId="158">
      <calculatedColumnFormula>SUMPRODUCT((Group2[Pts]=J11)*(Group2[GD]=K11)*(Group2[F]&gt;H11))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Group3" displayName="Group3" ref="A17:N21" totalsRowShown="0" headerRowDxfId="157" dataDxfId="156">
  <tableColumns count="14">
    <tableColumn id="1" name="Rank Ties" dataDxfId="155">
      <calculatedColumnFormula>IF(C18="","",RANK($B18,Group3[Rank],1)+COUNTIF($B$18:$B18,$B18)-1)</calculatedColumnFormula>
    </tableColumn>
    <tableColumn id="2" name="Rank" dataDxfId="154">
      <calculatedColumnFormula>L18+M18+N18</calculatedColumnFormula>
    </tableColumn>
    <tableColumn id="3" name="Team" dataDxfId="153">
      <calculatedColumnFormula>Teams!A14</calculatedColumnFormula>
    </tableColumn>
    <tableColumn id="4" name="P" dataDxfId="152">
      <calculatedColumnFormula>SUMPRODUCT((Fixtures[Home
Team]=Group3[[#This Row],[Team]])*(Fixtures[Home
Score]&lt;&gt;"")+(Fixtures[Away
Score]&lt;&gt;"")*(Fixtures[Away
Team]=Group3[[#This Row],[Team]]))</calculatedColumnFormula>
    </tableColumn>
    <tableColumn id="5" name="W" dataDxfId="151">
      <calculatedColumnFormula>SUMPRODUCT((Fixtures[Home
Team]=Group3[[#This Row],[Team]])*(Fixtures[Home
Score]&gt;Fixtures[Away
Score])+(Fixtures[Away
Score]&gt;Fixtures[Home
Score])*(Fixtures[Away
Team]=Group3[[#This Row],[Team]]))</calculatedColumnFormula>
    </tableColumn>
    <tableColumn id="6" name="L" dataDxfId="150">
      <calculatedColumnFormula>SUMPRODUCT((Fixtures[Home
Team]=Group3[[#This Row],[Team]])*(Fixtures[Home
Score]&lt;Fixtures[Away
Score])+(Fixtures[Away
Score]&lt;Fixtures[Home
Score])*(Fixtures[Away
Team]=Group3[[#This Row],[Team]]))</calculatedColumnFormula>
    </tableColumn>
    <tableColumn id="7" name="D" dataDxfId="149">
      <calculatedColumnFormula>SUMPRODUCT((Fixtures[Home
Team]=Group3[[#This Row],[Team]])*(Fixtures[Home
Score]=Fixtures[Away
Score])*(Fixtures[Home
Score]&lt;&gt;"")+(Fixtures[Away
Score]=Fixtures[Home
Score])*(Fixtures[Away
Team]=Group3[[#This Row],[Team]])*(Fixtures[Away
Score]&lt;&gt;""))</calculatedColumnFormula>
    </tableColumn>
    <tableColumn id="8" name="F" dataDxfId="148">
      <calculatedColumnFormula>SUMPRODUCT((Fixtures[Home
Team]=Group3[[#This Row],[Team]])*(Fixtures[Home
Score])+(Fixtures[Away
Team]=Group3[[#This Row],[Team]])*(Fixtures[Away
Score]))</calculatedColumnFormula>
    </tableColumn>
    <tableColumn id="9" name="A" dataDxfId="147">
      <calculatedColumnFormula>SUMPRODUCT((Fixtures[Home
Team]=Group3[[#This Row],[Team]])*(Fixtures[Away
Score])+(Fixtures[Away
Team]=Group3[[#This Row],[Team]])*(Fixtures[Home
Score]))</calculatedColumnFormula>
    </tableColumn>
    <tableColumn id="10" name="Pts" dataDxfId="146">
      <calculatedColumnFormula>$E18*Data!$B$2+$G18*Data!$B$3-Teams!$B15</calculatedColumnFormula>
    </tableColumn>
    <tableColumn id="11" name="GD" dataDxfId="145">
      <calculatedColumnFormula>H18-I18</calculatedColumnFormula>
    </tableColumn>
    <tableColumn id="12" name="Rank1" dataDxfId="144">
      <calculatedColumnFormula>RANK(J18,Group3[Pts])</calculatedColumnFormula>
    </tableColumn>
    <tableColumn id="13" name="Goal Difference" dataDxfId="143">
      <calculatedColumnFormula>SUMPRODUCT((Group3[Pts]=J18)*(Group3[GD]&gt;K18))</calculatedColumnFormula>
    </tableColumn>
    <tableColumn id="14" name="Goals Scored" dataDxfId="142">
      <calculatedColumnFormula>SUMPRODUCT((Group3[Pts]=J18)*(Group3[GD]=K18)*(Group3[F]&gt;H18))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Group4" displayName="Group4" ref="A24:N28" totalsRowShown="0" headerRowDxfId="141" dataDxfId="140">
  <tableColumns count="14">
    <tableColumn id="1" name="Rank Ties" dataDxfId="139">
      <calculatedColumnFormula>IF(C25="","",RANK($B25,Group4[Rank],1)+COUNTIF($B$25:$B25,$B25)-1)</calculatedColumnFormula>
    </tableColumn>
    <tableColumn id="2" name="Rank" dataDxfId="138">
      <calculatedColumnFormula>L25+M25+N25</calculatedColumnFormula>
    </tableColumn>
    <tableColumn id="3" name="Team" dataDxfId="137">
      <calculatedColumnFormula>Teams!A20</calculatedColumnFormula>
    </tableColumn>
    <tableColumn id="4" name="P" dataDxfId="136">
      <calculatedColumnFormula>SUMPRODUCT((Fixtures[Home
Team]=Group4[[#This Row],[Team]])*(Fixtures[Home
Score]&lt;&gt;"")+(Fixtures[Away
Score]&lt;&gt;"")*(Fixtures[Away
Team]=Group4[[#This Row],[Team]]))</calculatedColumnFormula>
    </tableColumn>
    <tableColumn id="5" name="W" dataDxfId="135">
      <calculatedColumnFormula>SUMPRODUCT((Fixtures[Home
Team]=Group4[[#This Row],[Team]])*(Fixtures[Home
Score]&gt;Fixtures[Away
Score])+(Fixtures[Away
Score]&gt;Fixtures[Home
Score])*(Fixtures[Away
Team]=Group4[[#This Row],[Team]]))</calculatedColumnFormula>
    </tableColumn>
    <tableColumn id="6" name="L" dataDxfId="134">
      <calculatedColumnFormula>SUMPRODUCT((Fixtures[Home
Team]=Group4[[#This Row],[Team]])*(Fixtures[Home
Score]&lt;Fixtures[Away
Score])+(Fixtures[Away
Score]&lt;Fixtures[Home
Score])*(Fixtures[Away
Team]=Group4[[#This Row],[Team]]))</calculatedColumnFormula>
    </tableColumn>
    <tableColumn id="7" name="D" dataDxfId="133">
      <calculatedColumnFormula>SUMPRODUCT((Fixtures[Home
Team]=Group4[[#This Row],[Team]])*(Fixtures[Home
Score]=Fixtures[Away
Score])*(Fixtures[Home
Score]&lt;&gt;"")+(Fixtures[Away
Score]=Fixtures[Home
Score])*(Fixtures[Away
Team]=Group4[[#This Row],[Team]])*(Fixtures[Away
Score]&lt;&gt;""))</calculatedColumnFormula>
    </tableColumn>
    <tableColumn id="8" name="F" dataDxfId="132">
      <calculatedColumnFormula>SUMPRODUCT((Fixtures[Home
Team]=Group4[[#This Row],[Team]])*(Fixtures[Home
Score])+(Fixtures[Away
Team]=Group4[[#This Row],[Team]])*(Fixtures[Away
Score]))</calculatedColumnFormula>
    </tableColumn>
    <tableColumn id="9" name="A" dataDxfId="131">
      <calculatedColumnFormula>SUMPRODUCT((Fixtures[Home
Team]=Group4[[#This Row],[Team]])*(Fixtures[Away
Score])+(Fixtures[Away
Team]=Group4[[#This Row],[Team]])*(Fixtures[Home
Score]))</calculatedColumnFormula>
    </tableColumn>
    <tableColumn id="10" name="Pts" dataDxfId="130">
      <calculatedColumnFormula>$E25*Data!$B$2+$G25*Data!$B$3-Teams!$B20</calculatedColumnFormula>
    </tableColumn>
    <tableColumn id="11" name="GD" dataDxfId="129">
      <calculatedColumnFormula>H25-I25</calculatedColumnFormula>
    </tableColumn>
    <tableColumn id="12" name="Rank1" dataDxfId="128">
      <calculatedColumnFormula>RANK(J25,Group4[Pts])</calculatedColumnFormula>
    </tableColumn>
    <tableColumn id="13" name="Goal Difference" dataDxfId="127">
      <calculatedColumnFormula>SUMPRODUCT((Group4[Pts]=J25)*(Group4[GD]&gt;K25))</calculatedColumnFormula>
    </tableColumn>
    <tableColumn id="14" name="Goals Scored" dataDxfId="126">
      <calculatedColumnFormula>SUMPRODUCT((Group4[Pts]=J25)*(Group4[GD]=K25)*(Group4[F]&gt;H25))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Group5" displayName="Group5" ref="A31:N35" totalsRowShown="0" headerRowDxfId="125" dataDxfId="124">
  <tableColumns count="14">
    <tableColumn id="1" name="Rank Ties" dataDxfId="123">
      <calculatedColumnFormula>IF(C32="","",RANK($B32,Group5[Rank],1)+COUNTIF($B$32:$B32,$B32)-1)</calculatedColumnFormula>
    </tableColumn>
    <tableColumn id="2" name="Rank" dataDxfId="122">
      <calculatedColumnFormula>L32+M32+N32</calculatedColumnFormula>
    </tableColumn>
    <tableColumn id="3" name="Team" dataDxfId="121">
      <calculatedColumnFormula>Teams!A26</calculatedColumnFormula>
    </tableColumn>
    <tableColumn id="4" name="P" dataDxfId="120">
      <calculatedColumnFormula>SUMPRODUCT((Fixtures[Home
Team]=Group5[[#This Row],[Team]])*(Fixtures[Home
Score]&lt;&gt;"")+(Fixtures[Away
Score]&lt;&gt;"")*(Fixtures[Away
Team]=Group5[[#This Row],[Team]]))</calculatedColumnFormula>
    </tableColumn>
    <tableColumn id="5" name="W" dataDxfId="119">
      <calculatedColumnFormula>SUMPRODUCT((Fixtures[Home
Team]=Group5[[#This Row],[Team]])*(Fixtures[Home
Score]&gt;Fixtures[Away
Score])+(Fixtures[Away
Score]&gt;Fixtures[Home
Score])*(Fixtures[Away
Team]=Group5[[#This Row],[Team]]))</calculatedColumnFormula>
    </tableColumn>
    <tableColumn id="6" name="L" dataDxfId="118">
      <calculatedColumnFormula>SUMPRODUCT((Fixtures[Home
Team]=Group5[[#This Row],[Team]])*(Fixtures[Home
Score]&lt;Fixtures[Away
Score])+(Fixtures[Away
Score]&lt;Fixtures[Home
Score])*(Fixtures[Away
Team]=Group5[[#This Row],[Team]]))</calculatedColumnFormula>
    </tableColumn>
    <tableColumn id="7" name="D" dataDxfId="117">
      <calculatedColumnFormula>SUMPRODUCT((Fixtures[Home
Team]=Group5[[#This Row],[Team]])*(Fixtures[Home
Score]=Fixtures[Away
Score])*(Fixtures[Home
Score]&lt;&gt;"")+(Fixtures[Away
Score]=Fixtures[Home
Score])*(Fixtures[Away
Team]=Group5[[#This Row],[Team]])*(Fixtures[Away
Score]&lt;&gt;""))</calculatedColumnFormula>
    </tableColumn>
    <tableColumn id="8" name="F" dataDxfId="116">
      <calculatedColumnFormula>SUMPRODUCT((Fixtures[Home
Team]=Group5[[#This Row],[Team]])*(Fixtures[Home
Score])+(Fixtures[Away
Team]=Group5[[#This Row],[Team]])*(Fixtures[Away
Score]))</calculatedColumnFormula>
    </tableColumn>
    <tableColumn id="9" name="A" dataDxfId="115">
      <calculatedColumnFormula>SUMPRODUCT((Fixtures[Home
Team]=Group5[[#This Row],[Team]])*(Fixtures[Away
Score])+(Fixtures[Away
Team]=Group5[[#This Row],[Team]])*(Fixtures[Home
Score]))</calculatedColumnFormula>
    </tableColumn>
    <tableColumn id="10" name="Pts" dataDxfId="114">
      <calculatedColumnFormula>$E32*Data!$B$2+$G32*Data!$B$3-Teams!$B26</calculatedColumnFormula>
    </tableColumn>
    <tableColumn id="11" name="GD" dataDxfId="113">
      <calculatedColumnFormula>H32-I32</calculatedColumnFormula>
    </tableColumn>
    <tableColumn id="12" name="Rank1" dataDxfId="112">
      <calculatedColumnFormula>RANK(J32,Group5[Pts])</calculatedColumnFormula>
    </tableColumn>
    <tableColumn id="13" name="Goal Difference" dataDxfId="111">
      <calculatedColumnFormula>SUMPRODUCT((Group5[Pts]=J32)*(Group5[GD]&gt;K32))</calculatedColumnFormula>
    </tableColumn>
    <tableColumn id="14" name="Goals Scored" dataDxfId="110">
      <calculatedColumnFormula>SUMPRODUCT((Group5[Pts]=J32)*(Group5[GD]=K32)*(Group5[F]&gt;H32))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9" name="Group6" displayName="Group6" ref="A38:N42" totalsRowShown="0" headerRowDxfId="109" dataDxfId="108">
  <tableColumns count="14">
    <tableColumn id="1" name="Rank Ties" dataDxfId="107">
      <calculatedColumnFormula>IF(C39="","",RANK($B39,Group6[Rank],1)+COUNTIF($B$39:$B39,$B39)-1)</calculatedColumnFormula>
    </tableColumn>
    <tableColumn id="2" name="Rank" dataDxfId="106">
      <calculatedColumnFormula>L39+M39+N39</calculatedColumnFormula>
    </tableColumn>
    <tableColumn id="3" name="Team" dataDxfId="105">
      <calculatedColumnFormula>Teams!A32</calculatedColumnFormula>
    </tableColumn>
    <tableColumn id="4" name="P" dataDxfId="104">
      <calculatedColumnFormula>SUMPRODUCT((Fixtures[Home
Team]=Group6[[#This Row],[Team]])*(Fixtures[Home
Score]&lt;&gt;"")+(Fixtures[Away
Score]&lt;&gt;"")*(Fixtures[Away
Team]=Group6[[#This Row],[Team]]))</calculatedColumnFormula>
    </tableColumn>
    <tableColumn id="5" name="W" dataDxfId="103">
      <calculatedColumnFormula>SUMPRODUCT((Fixtures[Home
Team]=Group6[[#This Row],[Team]])*(Fixtures[Home
Score]&gt;Fixtures[Away
Score])+(Fixtures[Away
Score]&gt;Fixtures[Home
Score])*(Fixtures[Away
Team]=Group6[[#This Row],[Team]]))</calculatedColumnFormula>
    </tableColumn>
    <tableColumn id="6" name="L" dataDxfId="102">
      <calculatedColumnFormula>SUMPRODUCT((Fixtures[Home
Team]=Group6[[#This Row],[Team]])*(Fixtures[Home
Score]&lt;Fixtures[Away
Score])+(Fixtures[Away
Score]&lt;Fixtures[Home
Score])*(Fixtures[Away
Team]=Group6[[#This Row],[Team]]))</calculatedColumnFormula>
    </tableColumn>
    <tableColumn id="7" name="D" dataDxfId="101">
      <calculatedColumnFormula>SUMPRODUCT((Fixtures[Home
Team]=Group6[[#This Row],[Team]])*(Fixtures[Home
Score]=Fixtures[Away
Score])*(Fixtures[Home
Score]&lt;&gt;"")+(Fixtures[Away
Score]=Fixtures[Home
Score])*(Fixtures[Away
Team]=Group6[[#This Row],[Team]])*(Fixtures[Away
Score]&lt;&gt;""))</calculatedColumnFormula>
    </tableColumn>
    <tableColumn id="8" name="F" dataDxfId="100">
      <calculatedColumnFormula>SUMPRODUCT((Fixtures[Home
Team]=Group6[[#This Row],[Team]])*(Fixtures[Home
Score])+(Fixtures[Away
Team]=Group6[[#This Row],[Team]])*(Fixtures[Away
Score]))</calculatedColumnFormula>
    </tableColumn>
    <tableColumn id="9" name="A" dataDxfId="99">
      <calculatedColumnFormula>SUMPRODUCT((Fixtures[Home
Team]=Group6[[#This Row],[Team]])*(Fixtures[Away
Score])+(Fixtures[Away
Team]=Group6[[#This Row],[Team]])*(Fixtures[Home
Score]))</calculatedColumnFormula>
    </tableColumn>
    <tableColumn id="10" name="Pts" dataDxfId="98">
      <calculatedColumnFormula>$E39*Data!$B$2+$G39*Data!$B$3-Teams!$B33</calculatedColumnFormula>
    </tableColumn>
    <tableColumn id="11" name="GD" dataDxfId="97">
      <calculatedColumnFormula>H39-I39</calculatedColumnFormula>
    </tableColumn>
    <tableColumn id="12" name="Rank1" dataDxfId="96">
      <calculatedColumnFormula>RANK(J39,Group6[Pts])</calculatedColumnFormula>
    </tableColumn>
    <tableColumn id="13" name="Goal Difference" dataDxfId="95">
      <calculatedColumnFormula>SUMPRODUCT((Group6[Pts]=J39)*(Group6[GD]&gt;K39))</calculatedColumnFormula>
    </tableColumn>
    <tableColumn id="14" name="Goals Scored" dataDxfId="94">
      <calculatedColumnFormula>SUMPRODUCT((Group6[Pts]=J39)*(Group6[GD]=K39)*(Group6[F]&gt;H39))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GroupThirdPlace" displayName="GroupThirdPlace" ref="A45:O51" totalsRowShown="0" headerRowDxfId="93" dataDxfId="92">
  <tableColumns count="15">
    <tableColumn id="1" name="Rank Ties" dataDxfId="91">
      <calculatedColumnFormula>IF(C46="","",RANK($B46,GroupThirdPlace[Rank],1)+COUNTIF($B$46:$B46,$B46)-1)</calculatedColumnFormula>
    </tableColumn>
    <tableColumn id="2" name="Rank" dataDxfId="90">
      <calculatedColumnFormula>L46+M46+N46</calculatedColumnFormula>
    </tableColumn>
    <tableColumn id="3" name="Team" dataDxfId="89">
      <calculatedColumnFormula>C30</calculatedColumnFormula>
    </tableColumn>
    <tableColumn id="4" name="P" dataDxfId="88"/>
    <tableColumn id="5" name="W" dataDxfId="87"/>
    <tableColumn id="6" name="L" dataDxfId="86"/>
    <tableColumn id="7" name="D" dataDxfId="85"/>
    <tableColumn id="8" name="F" dataDxfId="84"/>
    <tableColumn id="9" name="A" dataDxfId="83"/>
    <tableColumn id="10" name="Pts" dataDxfId="82"/>
    <tableColumn id="11" name="GD" dataDxfId="81"/>
    <tableColumn id="12" name="Rank1" dataDxfId="80">
      <calculatedColumnFormula>RANK(J46,GroupThirdPlace[Pts])</calculatedColumnFormula>
    </tableColumn>
    <tableColumn id="13" name="Goal Difference" dataDxfId="79">
      <calculatedColumnFormula>SUMPRODUCT((GroupThirdPlace[Pts]=J46)*(GroupThirdPlace[GD]&gt;K46))</calculatedColumnFormula>
    </tableColumn>
    <tableColumn id="14" name="Goals Scored" dataDxfId="78">
      <calculatedColumnFormula>SUMPRODUCT((GroupThirdPlace[Pts]=J46)*(GroupThirdPlace[GD]=K46)*(GroupThirdPlace[F]&gt;H46))</calculatedColumnFormula>
    </tableColumn>
    <tableColumn id="15" name="Group" dataDxfId="7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4" name="League_TableA" displayName="League_TableA" ref="A3:J7" totalsRowShown="0" headerRowDxfId="76" dataDxfId="74" headerRowBorderDxfId="75" tableBorderDxfId="73">
  <tableColumns count="10">
    <tableColumn id="1" name="Position" dataDxfId="72"/>
    <tableColumn id="2" name="Team" dataDxfId="71">
      <calculatedColumnFormula>VLOOKUP(SMALL(Group1[Rank Ties],League_TableA[[#This Row],[Position]]),Group1[],3,FALSE)</calculatedColumnFormula>
    </tableColumn>
    <tableColumn id="3" name="P" dataDxfId="70"/>
    <tableColumn id="4" name="W" dataDxfId="69"/>
    <tableColumn id="5" name="L" dataDxfId="68"/>
    <tableColumn id="6" name="D" dataDxfId="67"/>
    <tableColumn id="7" name="F" dataDxfId="66"/>
    <tableColumn id="8" name="A" dataDxfId="65"/>
    <tableColumn id="9" name="Pts" dataDxfId="64"/>
    <tableColumn id="10" name="GD" dataDxfId="63">
      <calculatedColumnFormula>G4-H4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"/>
  <sheetViews>
    <sheetView workbookViewId="0">
      <selection sqref="A1:XFD1048576"/>
    </sheetView>
  </sheetViews>
  <sheetFormatPr defaultRowHeight="12.75" x14ac:dyDescent="0.2"/>
  <cols>
    <col min="1" max="16384" width="9.140625" style="1"/>
  </cols>
  <sheetData>
    <row r="1" spans="1:2" x14ac:dyDescent="0.2">
      <c r="B1" s="1" t="s">
        <v>14</v>
      </c>
    </row>
    <row r="2" spans="1:2" x14ac:dyDescent="0.2">
      <c r="A2" s="1" t="s">
        <v>12</v>
      </c>
      <c r="B2" s="1">
        <v>3</v>
      </c>
    </row>
    <row r="3" spans="1:2" x14ac:dyDescent="0.2">
      <c r="A3" s="1" t="s">
        <v>13</v>
      </c>
      <c r="B3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5"/>
  <sheetViews>
    <sheetView workbookViewId="0">
      <selection activeCell="A3" sqref="A3"/>
    </sheetView>
  </sheetViews>
  <sheetFormatPr defaultRowHeight="12.75" x14ac:dyDescent="0.2"/>
  <cols>
    <col min="1" max="1" width="23" style="10" bestFit="1" customWidth="1"/>
    <col min="2" max="2" width="16.140625" style="10" bestFit="1" customWidth="1"/>
    <col min="3" max="3" width="9.140625" style="10"/>
    <col min="4" max="4" width="17.5703125" style="10" bestFit="1" customWidth="1"/>
    <col min="5" max="16384" width="9.140625" style="10"/>
  </cols>
  <sheetData>
    <row r="1" spans="1:3" s="3" customFormat="1" ht="13.5" thickBot="1" x14ac:dyDescent="0.25">
      <c r="A1" s="63" t="s">
        <v>25</v>
      </c>
      <c r="B1" s="64" t="s">
        <v>16</v>
      </c>
      <c r="C1" s="71" t="s">
        <v>60</v>
      </c>
    </row>
    <row r="2" spans="1:3" ht="13.5" thickTop="1" x14ac:dyDescent="0.2">
      <c r="A2" s="58" t="s">
        <v>48</v>
      </c>
      <c r="B2" s="66">
        <v>0</v>
      </c>
      <c r="C2" s="72"/>
    </row>
    <row r="3" spans="1:3" x14ac:dyDescent="0.2">
      <c r="A3" s="59" t="s">
        <v>43</v>
      </c>
      <c r="B3" s="65">
        <v>0</v>
      </c>
      <c r="C3" s="72"/>
    </row>
    <row r="4" spans="1:3" x14ac:dyDescent="0.2">
      <c r="A4" s="60" t="s">
        <v>36</v>
      </c>
      <c r="B4" s="67">
        <v>0</v>
      </c>
      <c r="C4" s="72"/>
    </row>
    <row r="5" spans="1:3" ht="13.5" thickBot="1" x14ac:dyDescent="0.25">
      <c r="A5" s="59" t="s">
        <v>52</v>
      </c>
      <c r="B5" s="65">
        <v>0</v>
      </c>
      <c r="C5" s="73"/>
    </row>
    <row r="6" spans="1:3" ht="13.5" thickBot="1" x14ac:dyDescent="0.25"/>
    <row r="7" spans="1:3" ht="13.5" thickBot="1" x14ac:dyDescent="0.25">
      <c r="A7" s="63" t="s">
        <v>25</v>
      </c>
      <c r="B7" s="64" t="s">
        <v>16</v>
      </c>
      <c r="C7" s="71" t="s">
        <v>61</v>
      </c>
    </row>
    <row r="8" spans="1:3" ht="13.5" thickTop="1" x14ac:dyDescent="0.2">
      <c r="A8" s="58" t="s">
        <v>42</v>
      </c>
      <c r="B8" s="66">
        <v>0</v>
      </c>
      <c r="C8" s="72"/>
    </row>
    <row r="9" spans="1:3" x14ac:dyDescent="0.2">
      <c r="A9" s="59" t="s">
        <v>44</v>
      </c>
      <c r="B9" s="65">
        <v>0</v>
      </c>
      <c r="C9" s="72"/>
    </row>
    <row r="10" spans="1:3" x14ac:dyDescent="0.2">
      <c r="A10" s="60" t="s">
        <v>39</v>
      </c>
      <c r="B10" s="67">
        <v>0</v>
      </c>
      <c r="C10" s="72"/>
    </row>
    <row r="11" spans="1:3" ht="13.5" thickBot="1" x14ac:dyDescent="0.25">
      <c r="A11" s="59" t="s">
        <v>57</v>
      </c>
      <c r="B11" s="65">
        <v>0</v>
      </c>
      <c r="C11" s="73"/>
    </row>
    <row r="12" spans="1:3" ht="13.5" thickBot="1" x14ac:dyDescent="0.25"/>
    <row r="13" spans="1:3" ht="13.5" thickBot="1" x14ac:dyDescent="0.25">
      <c r="A13" s="63" t="s">
        <v>25</v>
      </c>
      <c r="B13" s="64" t="s">
        <v>16</v>
      </c>
      <c r="C13" s="71" t="s">
        <v>62</v>
      </c>
    </row>
    <row r="14" spans="1:3" ht="13.5" thickTop="1" x14ac:dyDescent="0.2">
      <c r="A14" s="58" t="s">
        <v>33</v>
      </c>
      <c r="B14" s="66">
        <v>0</v>
      </c>
      <c r="C14" s="72"/>
    </row>
    <row r="15" spans="1:3" x14ac:dyDescent="0.2">
      <c r="A15" s="59" t="s">
        <v>37</v>
      </c>
      <c r="B15" s="65">
        <v>0</v>
      </c>
      <c r="C15" s="72"/>
    </row>
    <row r="16" spans="1:3" x14ac:dyDescent="0.2">
      <c r="A16" s="60" t="s">
        <v>47</v>
      </c>
      <c r="B16" s="67">
        <v>0</v>
      </c>
      <c r="C16" s="72"/>
    </row>
    <row r="17" spans="1:3" ht="13.5" thickBot="1" x14ac:dyDescent="0.25">
      <c r="A17" s="59" t="s">
        <v>55</v>
      </c>
      <c r="B17" s="65">
        <v>0</v>
      </c>
      <c r="C17" s="73"/>
    </row>
    <row r="18" spans="1:3" ht="13.5" thickBot="1" x14ac:dyDescent="0.25"/>
    <row r="19" spans="1:3" ht="13.5" thickBot="1" x14ac:dyDescent="0.25">
      <c r="A19" s="63" t="s">
        <v>25</v>
      </c>
      <c r="B19" s="64" t="s">
        <v>16</v>
      </c>
      <c r="C19" s="71" t="s">
        <v>63</v>
      </c>
    </row>
    <row r="20" spans="1:3" ht="13.5" thickTop="1" x14ac:dyDescent="0.2">
      <c r="A20" s="58" t="s">
        <v>51</v>
      </c>
      <c r="B20" s="66">
        <v>0</v>
      </c>
      <c r="C20" s="72"/>
    </row>
    <row r="21" spans="1:3" x14ac:dyDescent="0.2">
      <c r="A21" s="59" t="s">
        <v>34</v>
      </c>
      <c r="B21" s="65">
        <v>0</v>
      </c>
      <c r="C21" s="72"/>
    </row>
    <row r="22" spans="1:3" x14ac:dyDescent="0.2">
      <c r="A22" s="60" t="s">
        <v>46</v>
      </c>
      <c r="B22" s="67">
        <v>0</v>
      </c>
      <c r="C22" s="72"/>
    </row>
    <row r="23" spans="1:3" ht="13.5" thickBot="1" x14ac:dyDescent="0.25">
      <c r="A23" s="59" t="s">
        <v>35</v>
      </c>
      <c r="B23" s="65">
        <v>0</v>
      </c>
      <c r="C23" s="73"/>
    </row>
    <row r="24" spans="1:3" ht="13.5" thickBot="1" x14ac:dyDescent="0.25"/>
    <row r="25" spans="1:3" ht="13.5" thickBot="1" x14ac:dyDescent="0.25">
      <c r="A25" s="63" t="s">
        <v>25</v>
      </c>
      <c r="B25" s="64" t="s">
        <v>16</v>
      </c>
      <c r="C25" s="71" t="s">
        <v>64</v>
      </c>
    </row>
    <row r="26" spans="1:3" ht="13.5" thickTop="1" x14ac:dyDescent="0.2">
      <c r="A26" s="58" t="s">
        <v>53</v>
      </c>
      <c r="B26" s="66">
        <v>0</v>
      </c>
      <c r="C26" s="72"/>
    </row>
    <row r="27" spans="1:3" x14ac:dyDescent="0.2">
      <c r="A27" s="59" t="s">
        <v>49</v>
      </c>
      <c r="B27" s="65">
        <v>0</v>
      </c>
      <c r="C27" s="72"/>
    </row>
    <row r="28" spans="1:3" x14ac:dyDescent="0.2">
      <c r="A28" s="60" t="s">
        <v>45</v>
      </c>
      <c r="B28" s="67">
        <v>0</v>
      </c>
      <c r="C28" s="72"/>
    </row>
    <row r="29" spans="1:3" ht="13.5" thickBot="1" x14ac:dyDescent="0.25">
      <c r="A29" s="59" t="s">
        <v>38</v>
      </c>
      <c r="B29" s="65">
        <v>0</v>
      </c>
      <c r="C29" s="73"/>
    </row>
    <row r="30" spans="1:3" ht="13.5" thickBot="1" x14ac:dyDescent="0.25"/>
    <row r="31" spans="1:3" ht="13.5" thickBot="1" x14ac:dyDescent="0.25">
      <c r="A31" s="63" t="s">
        <v>25</v>
      </c>
      <c r="B31" s="64" t="s">
        <v>16</v>
      </c>
      <c r="C31" s="71" t="s">
        <v>65</v>
      </c>
    </row>
    <row r="32" spans="1:3" ht="13.5" thickTop="1" x14ac:dyDescent="0.2">
      <c r="A32" s="58" t="s">
        <v>41</v>
      </c>
      <c r="B32" s="66">
        <v>0</v>
      </c>
      <c r="C32" s="72"/>
    </row>
    <row r="33" spans="1:3" x14ac:dyDescent="0.2">
      <c r="A33" s="59" t="s">
        <v>54</v>
      </c>
      <c r="B33" s="65">
        <v>0</v>
      </c>
      <c r="C33" s="72"/>
    </row>
    <row r="34" spans="1:3" x14ac:dyDescent="0.2">
      <c r="A34" s="60" t="s">
        <v>50</v>
      </c>
      <c r="B34" s="67">
        <v>0</v>
      </c>
      <c r="C34" s="72"/>
    </row>
    <row r="35" spans="1:3" ht="13.5" thickBot="1" x14ac:dyDescent="0.25">
      <c r="A35" s="59" t="s">
        <v>40</v>
      </c>
      <c r="B35" s="65">
        <v>0</v>
      </c>
      <c r="C35" s="73"/>
    </row>
  </sheetData>
  <mergeCells count="6">
    <mergeCell ref="C31:C35"/>
    <mergeCell ref="C1:C5"/>
    <mergeCell ref="C7:C11"/>
    <mergeCell ref="C13:C17"/>
    <mergeCell ref="C19:C23"/>
    <mergeCell ref="C25:C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95"/>
  <sheetViews>
    <sheetView showGridLines="0" zoomScaleNormal="100" workbookViewId="0">
      <pane ySplit="1" topLeftCell="A2" activePane="bottomLeft" state="frozen"/>
      <selection pane="bottomLeft" activeCell="A41" sqref="A41"/>
    </sheetView>
  </sheetViews>
  <sheetFormatPr defaultRowHeight="12.75" customHeight="1" x14ac:dyDescent="0.2"/>
  <cols>
    <col min="1" max="1" width="11" style="9" bestFit="1" customWidth="1"/>
    <col min="2" max="2" width="5.5703125" style="9" bestFit="1" customWidth="1"/>
    <col min="3" max="3" width="4.42578125" style="4" customWidth="1"/>
    <col min="4" max="4" width="5.5703125" style="9" bestFit="1" customWidth="1"/>
    <col min="5" max="5" width="12.7109375" style="9" bestFit="1" customWidth="1"/>
    <col min="6" max="14" width="9.140625" style="4"/>
    <col min="15" max="15" width="9.140625" style="4" customWidth="1"/>
    <col min="16" max="16" width="1.7109375" style="4" customWidth="1"/>
    <col min="17" max="17" width="5.5703125" style="4" bestFit="1" customWidth="1"/>
    <col min="18" max="18" width="2.28515625" style="4" bestFit="1" customWidth="1"/>
    <col min="19" max="19" width="5.5703125" style="4" bestFit="1" customWidth="1"/>
    <col min="20" max="20" width="1.7109375" style="4" customWidth="1"/>
    <col min="21" max="23" width="9.140625" style="4"/>
    <col min="24" max="24" width="1.7109375" style="4" customWidth="1"/>
    <col min="25" max="25" width="9.140625" style="4"/>
    <col min="26" max="26" width="2.28515625" style="4" bestFit="1" customWidth="1"/>
    <col min="27" max="27" width="9.140625" style="4"/>
    <col min="28" max="28" width="1.7109375" style="4" customWidth="1"/>
    <col min="29" max="31" width="9.140625" style="4"/>
    <col min="32" max="32" width="1.7109375" style="4" customWidth="1"/>
    <col min="33" max="33" width="9.140625" style="4"/>
    <col min="34" max="34" width="2.28515625" style="4" bestFit="1" customWidth="1"/>
    <col min="35" max="35" width="9.140625" style="4"/>
    <col min="36" max="36" width="1.7109375" style="4" customWidth="1"/>
    <col min="37" max="39" width="9.140625" style="4"/>
    <col min="40" max="40" width="1.7109375" style="4" customWidth="1"/>
    <col min="41" max="41" width="9.140625" style="4"/>
    <col min="42" max="42" width="2.28515625" style="4" bestFit="1" customWidth="1"/>
    <col min="43" max="43" width="9.140625" style="4"/>
    <col min="44" max="44" width="1.7109375" style="4" customWidth="1"/>
    <col min="45" max="16384" width="9.140625" style="4"/>
  </cols>
  <sheetData>
    <row r="1" spans="1:13" ht="27" thickBot="1" x14ac:dyDescent="0.3">
      <c r="A1" s="23" t="s">
        <v>20</v>
      </c>
      <c r="B1" s="23" t="s">
        <v>21</v>
      </c>
      <c r="C1" s="24" t="s">
        <v>22</v>
      </c>
      <c r="D1" s="23" t="s">
        <v>23</v>
      </c>
      <c r="E1" s="23" t="s">
        <v>24</v>
      </c>
      <c r="G1"/>
      <c r="H1"/>
      <c r="I1"/>
      <c r="J1"/>
      <c r="K1"/>
      <c r="L1"/>
      <c r="M1"/>
    </row>
    <row r="2" spans="1:13" ht="12.75" customHeight="1" thickBot="1" x14ac:dyDescent="0.3">
      <c r="A2" s="49" t="s">
        <v>66</v>
      </c>
      <c r="B2" s="68"/>
      <c r="C2" s="68"/>
      <c r="D2" s="68"/>
      <c r="E2" s="69"/>
    </row>
    <row r="3" spans="1:13" ht="12.75" customHeight="1" x14ac:dyDescent="0.2">
      <c r="A3" s="19" t="s">
        <v>48</v>
      </c>
      <c r="B3" s="20">
        <v>1</v>
      </c>
      <c r="C3" s="21" t="s">
        <v>10</v>
      </c>
      <c r="D3" s="20">
        <v>0</v>
      </c>
      <c r="E3" s="22" t="s">
        <v>36</v>
      </c>
    </row>
    <row r="4" spans="1:13" ht="12.75" customHeight="1" thickBot="1" x14ac:dyDescent="0.25">
      <c r="A4" s="5" t="s">
        <v>52</v>
      </c>
      <c r="B4" s="6">
        <v>0</v>
      </c>
      <c r="C4" s="7" t="s">
        <v>10</v>
      </c>
      <c r="D4" s="6">
        <v>1</v>
      </c>
      <c r="E4" s="8" t="s">
        <v>43</v>
      </c>
    </row>
    <row r="5" spans="1:13" ht="12.75" customHeight="1" thickBot="1" x14ac:dyDescent="0.3">
      <c r="A5" s="26" t="s">
        <v>56</v>
      </c>
      <c r="B5" s="27"/>
      <c r="C5" s="27"/>
      <c r="D5" s="27"/>
      <c r="E5" s="28"/>
    </row>
    <row r="6" spans="1:13" ht="12.75" customHeight="1" x14ac:dyDescent="0.2">
      <c r="A6" s="19" t="s">
        <v>44</v>
      </c>
      <c r="B6" s="20">
        <v>4</v>
      </c>
      <c r="C6" s="21" t="s">
        <v>10</v>
      </c>
      <c r="D6" s="20">
        <v>0</v>
      </c>
      <c r="E6" s="22" t="s">
        <v>39</v>
      </c>
    </row>
    <row r="7" spans="1:13" ht="12.75" customHeight="1" thickBot="1" x14ac:dyDescent="0.25">
      <c r="A7" s="5" t="s">
        <v>42</v>
      </c>
      <c r="B7" s="6">
        <v>10</v>
      </c>
      <c r="C7" s="7" t="s">
        <v>10</v>
      </c>
      <c r="D7" s="6">
        <v>0</v>
      </c>
      <c r="E7" s="8" t="s">
        <v>57</v>
      </c>
    </row>
    <row r="8" spans="1:13" ht="12.75" customHeight="1" thickBot="1" x14ac:dyDescent="0.3">
      <c r="A8" s="26" t="s">
        <v>58</v>
      </c>
      <c r="B8" s="68"/>
      <c r="C8" s="68"/>
      <c r="D8" s="68"/>
      <c r="E8" s="69"/>
    </row>
    <row r="9" spans="1:13" ht="12.75" customHeight="1" x14ac:dyDescent="0.2">
      <c r="A9" s="5" t="s">
        <v>46</v>
      </c>
      <c r="B9" s="6">
        <v>3</v>
      </c>
      <c r="C9" s="7" t="s">
        <v>10</v>
      </c>
      <c r="D9" s="6">
        <v>3</v>
      </c>
      <c r="E9" s="8" t="s">
        <v>34</v>
      </c>
    </row>
    <row r="10" spans="1:13" ht="12.75" customHeight="1" x14ac:dyDescent="0.2">
      <c r="A10" s="5" t="s">
        <v>33</v>
      </c>
      <c r="B10" s="6">
        <v>6</v>
      </c>
      <c r="C10" s="7" t="s">
        <v>10</v>
      </c>
      <c r="D10" s="6">
        <v>0</v>
      </c>
      <c r="E10" s="8" t="s">
        <v>55</v>
      </c>
    </row>
    <row r="11" spans="1:13" ht="12.75" customHeight="1" x14ac:dyDescent="0.2">
      <c r="A11" s="5" t="s">
        <v>51</v>
      </c>
      <c r="B11" s="6">
        <v>3</v>
      </c>
      <c r="C11" s="7" t="s">
        <v>10</v>
      </c>
      <c r="D11" s="6">
        <v>1</v>
      </c>
      <c r="E11" s="8" t="s">
        <v>35</v>
      </c>
    </row>
    <row r="12" spans="1:13" ht="12.75" customHeight="1" thickBot="1" x14ac:dyDescent="0.25">
      <c r="A12" s="5" t="s">
        <v>37</v>
      </c>
      <c r="B12" s="6">
        <v>1</v>
      </c>
      <c r="C12" s="7" t="s">
        <v>10</v>
      </c>
      <c r="D12" s="6">
        <v>0</v>
      </c>
      <c r="E12" s="8" t="s">
        <v>47</v>
      </c>
    </row>
    <row r="13" spans="1:13" ht="12.75" customHeight="1" thickBot="1" x14ac:dyDescent="0.3">
      <c r="A13" s="26" t="s">
        <v>59</v>
      </c>
      <c r="B13" s="27"/>
      <c r="C13" s="27"/>
      <c r="D13" s="27"/>
      <c r="E13" s="28"/>
    </row>
    <row r="14" spans="1:13" ht="12.75" customHeight="1" x14ac:dyDescent="0.2">
      <c r="A14" s="5" t="s">
        <v>41</v>
      </c>
      <c r="B14" s="6">
        <v>1</v>
      </c>
      <c r="C14" s="7" t="s">
        <v>10</v>
      </c>
      <c r="D14" s="6">
        <v>0</v>
      </c>
      <c r="E14" s="8" t="s">
        <v>40</v>
      </c>
    </row>
    <row r="15" spans="1:13" ht="12.75" customHeight="1" x14ac:dyDescent="0.2">
      <c r="A15" s="5" t="s">
        <v>45</v>
      </c>
      <c r="B15" s="6">
        <v>1</v>
      </c>
      <c r="C15" s="7" t="s">
        <v>10</v>
      </c>
      <c r="D15" s="6">
        <v>1</v>
      </c>
      <c r="E15" s="8" t="s">
        <v>49</v>
      </c>
    </row>
    <row r="16" spans="1:13" ht="12.75" customHeight="1" thickBot="1" x14ac:dyDescent="0.25">
      <c r="A16" s="5" t="s">
        <v>54</v>
      </c>
      <c r="B16" s="6">
        <v>1</v>
      </c>
      <c r="C16" s="7" t="s">
        <v>10</v>
      </c>
      <c r="D16" s="6">
        <v>1</v>
      </c>
      <c r="E16" s="8" t="s">
        <v>50</v>
      </c>
    </row>
    <row r="17" spans="1:5" ht="12.75" customHeight="1" thickBot="1" x14ac:dyDescent="0.3">
      <c r="A17" s="49" t="s">
        <v>97</v>
      </c>
      <c r="B17" s="27"/>
      <c r="C17" s="27"/>
      <c r="D17" s="27"/>
      <c r="E17" s="28"/>
    </row>
    <row r="18" spans="1:5" ht="12.75" customHeight="1" thickBot="1" x14ac:dyDescent="0.25">
      <c r="A18" s="5" t="s">
        <v>53</v>
      </c>
      <c r="B18" s="6">
        <v>2</v>
      </c>
      <c r="C18" s="7" t="s">
        <v>10</v>
      </c>
      <c r="D18" s="6">
        <v>0</v>
      </c>
      <c r="E18" s="8" t="s">
        <v>38</v>
      </c>
    </row>
    <row r="19" spans="1:5" ht="12.75" customHeight="1" thickBot="1" x14ac:dyDescent="0.3">
      <c r="A19" s="49" t="s">
        <v>98</v>
      </c>
      <c r="B19" s="27"/>
      <c r="C19" s="27"/>
      <c r="D19" s="27"/>
      <c r="E19" s="28"/>
    </row>
    <row r="20" spans="1:5" ht="12.75" customHeight="1" x14ac:dyDescent="0.2">
      <c r="A20" s="5" t="s">
        <v>36</v>
      </c>
      <c r="B20" s="6">
        <v>1</v>
      </c>
      <c r="C20" s="7" t="s">
        <v>10</v>
      </c>
      <c r="D20" s="6">
        <v>0</v>
      </c>
      <c r="E20" s="8" t="s">
        <v>43</v>
      </c>
    </row>
    <row r="21" spans="1:5" ht="12.75" customHeight="1" thickBot="1" x14ac:dyDescent="0.25">
      <c r="A21" s="5" t="s">
        <v>42</v>
      </c>
      <c r="B21" s="6">
        <v>1</v>
      </c>
      <c r="C21" s="7" t="s">
        <v>10</v>
      </c>
      <c r="D21" s="6">
        <v>1</v>
      </c>
      <c r="E21" s="8" t="s">
        <v>44</v>
      </c>
    </row>
    <row r="22" spans="1:5" ht="12.75" customHeight="1" thickBot="1" x14ac:dyDescent="0.3">
      <c r="A22" s="49" t="s">
        <v>99</v>
      </c>
      <c r="B22" s="68"/>
      <c r="C22" s="68"/>
      <c r="D22" s="68"/>
      <c r="E22" s="69"/>
    </row>
    <row r="23" spans="1:5" ht="12.75" customHeight="1" x14ac:dyDescent="0.2">
      <c r="A23" s="5" t="s">
        <v>48</v>
      </c>
      <c r="B23" s="6">
        <v>0</v>
      </c>
      <c r="C23" s="7" t="s">
        <v>10</v>
      </c>
      <c r="D23" s="6">
        <v>0</v>
      </c>
      <c r="E23" s="8" t="s">
        <v>52</v>
      </c>
    </row>
    <row r="24" spans="1:5" ht="12.75" customHeight="1" x14ac:dyDescent="0.2">
      <c r="A24" s="5" t="s">
        <v>57</v>
      </c>
      <c r="B24" s="6">
        <v>2</v>
      </c>
      <c r="C24" s="7" t="s">
        <v>10</v>
      </c>
      <c r="D24" s="6">
        <v>3</v>
      </c>
      <c r="E24" s="8" t="s">
        <v>39</v>
      </c>
    </row>
    <row r="25" spans="1:5" ht="12.75" customHeight="1" thickBot="1" x14ac:dyDescent="0.25">
      <c r="A25" s="5" t="s">
        <v>35</v>
      </c>
      <c r="B25" s="6">
        <v>2</v>
      </c>
      <c r="C25" s="7" t="s">
        <v>10</v>
      </c>
      <c r="D25" s="6">
        <v>0</v>
      </c>
      <c r="E25" s="8" t="s">
        <v>34</v>
      </c>
    </row>
    <row r="26" spans="1:5" ht="12.75" customHeight="1" thickBot="1" x14ac:dyDescent="0.3">
      <c r="A26" s="49" t="s">
        <v>100</v>
      </c>
      <c r="B26" s="68"/>
      <c r="C26" s="68"/>
      <c r="D26" s="68"/>
      <c r="E26" s="69"/>
    </row>
    <row r="27" spans="1:5" ht="12.75" customHeight="1" x14ac:dyDescent="0.2">
      <c r="A27" s="5" t="s">
        <v>47</v>
      </c>
      <c r="B27" s="6">
        <v>10</v>
      </c>
      <c r="C27" s="7" t="s">
        <v>10</v>
      </c>
      <c r="D27" s="6">
        <v>1</v>
      </c>
      <c r="E27" s="8" t="s">
        <v>55</v>
      </c>
    </row>
    <row r="28" spans="1:5" ht="12.75" customHeight="1" x14ac:dyDescent="0.2">
      <c r="A28" s="5" t="s">
        <v>37</v>
      </c>
      <c r="B28" s="6">
        <v>2</v>
      </c>
      <c r="C28" s="7" t="s">
        <v>10</v>
      </c>
      <c r="D28" s="6">
        <v>1</v>
      </c>
      <c r="E28" s="8" t="s">
        <v>33</v>
      </c>
    </row>
    <row r="29" spans="1:5" ht="12.75" customHeight="1" x14ac:dyDescent="0.2">
      <c r="A29" s="5" t="s">
        <v>51</v>
      </c>
      <c r="B29" s="6">
        <v>0</v>
      </c>
      <c r="C29" s="7" t="s">
        <v>10</v>
      </c>
      <c r="D29" s="6">
        <v>0</v>
      </c>
      <c r="E29" s="8" t="s">
        <v>46</v>
      </c>
    </row>
    <row r="30" spans="1:5" ht="12.75" customHeight="1" x14ac:dyDescent="0.2">
      <c r="A30" s="5" t="s">
        <v>53</v>
      </c>
      <c r="B30" s="6">
        <v>1</v>
      </c>
      <c r="C30" s="7" t="s">
        <v>10</v>
      </c>
      <c r="D30" s="6">
        <v>0</v>
      </c>
      <c r="E30" s="8" t="s">
        <v>45</v>
      </c>
    </row>
    <row r="31" spans="1:5" ht="12.75" customHeight="1" x14ac:dyDescent="0.2">
      <c r="A31" s="5" t="s">
        <v>41</v>
      </c>
      <c r="B31" s="6">
        <v>0</v>
      </c>
      <c r="C31" s="7" t="s">
        <v>10</v>
      </c>
      <c r="D31" s="6">
        <v>2</v>
      </c>
      <c r="E31" s="8" t="s">
        <v>54</v>
      </c>
    </row>
    <row r="32" spans="1:5" ht="12.75" customHeight="1" thickBot="1" x14ac:dyDescent="0.25">
      <c r="A32" s="5" t="s">
        <v>40</v>
      </c>
      <c r="B32" s="6">
        <v>2</v>
      </c>
      <c r="C32" s="7" t="s">
        <v>10</v>
      </c>
      <c r="D32" s="6">
        <v>1</v>
      </c>
      <c r="E32" s="8" t="s">
        <v>50</v>
      </c>
    </row>
    <row r="33" spans="1:5" ht="12.75" customHeight="1" thickBot="1" x14ac:dyDescent="0.3">
      <c r="A33" s="50" t="s">
        <v>105</v>
      </c>
      <c r="B33" s="27"/>
      <c r="C33" s="27"/>
      <c r="D33" s="27"/>
      <c r="E33" s="28"/>
    </row>
    <row r="34" spans="1:5" ht="12.75" customHeight="1" thickBot="1" x14ac:dyDescent="0.25">
      <c r="A34" s="5" t="s">
        <v>107</v>
      </c>
      <c r="B34" s="6">
        <v>2</v>
      </c>
      <c r="C34" s="7" t="s">
        <v>10</v>
      </c>
      <c r="D34" s="6">
        <v>2</v>
      </c>
      <c r="E34" s="8" t="s">
        <v>49</v>
      </c>
    </row>
    <row r="35" spans="1:5" ht="12.75" customHeight="1" thickBot="1" x14ac:dyDescent="0.3">
      <c r="A35" s="50" t="s">
        <v>106</v>
      </c>
      <c r="B35" s="27"/>
      <c r="C35" s="27"/>
      <c r="D35" s="27"/>
      <c r="E35" s="28"/>
    </row>
    <row r="36" spans="1:5" ht="12.75" customHeight="1" x14ac:dyDescent="0.2">
      <c r="A36" s="5" t="s">
        <v>57</v>
      </c>
      <c r="B36" s="6">
        <v>1</v>
      </c>
      <c r="C36" s="7" t="s">
        <v>10</v>
      </c>
      <c r="D36" s="6">
        <v>3</v>
      </c>
      <c r="E36" s="8" t="s">
        <v>44</v>
      </c>
    </row>
    <row r="37" spans="1:5" ht="12.75" customHeight="1" thickBot="1" x14ac:dyDescent="0.25">
      <c r="A37" s="5" t="s">
        <v>39</v>
      </c>
      <c r="B37" s="6">
        <v>0</v>
      </c>
      <c r="C37" s="7" t="s">
        <v>10</v>
      </c>
      <c r="D37" s="6">
        <v>4</v>
      </c>
      <c r="E37" s="8" t="s">
        <v>42</v>
      </c>
    </row>
    <row r="38" spans="1:5" ht="12.75" customHeight="1" thickBot="1" x14ac:dyDescent="0.3">
      <c r="A38" s="50" t="s">
        <v>108</v>
      </c>
      <c r="B38" s="68"/>
      <c r="C38" s="68"/>
      <c r="D38" s="68"/>
      <c r="E38" s="69"/>
    </row>
    <row r="39" spans="1:5" ht="12.75" customHeight="1" x14ac:dyDescent="0.2">
      <c r="A39" s="5" t="s">
        <v>36</v>
      </c>
      <c r="B39" s="6">
        <v>2</v>
      </c>
      <c r="C39" s="7" t="s">
        <v>10</v>
      </c>
      <c r="D39" s="6">
        <v>2</v>
      </c>
      <c r="E39" s="8" t="s">
        <v>52</v>
      </c>
    </row>
    <row r="40" spans="1:5" ht="12.75" customHeight="1" x14ac:dyDescent="0.2">
      <c r="A40" s="5" t="s">
        <v>43</v>
      </c>
      <c r="B40" s="6">
        <v>1</v>
      </c>
      <c r="C40" s="7" t="s">
        <v>10</v>
      </c>
      <c r="D40" s="6">
        <v>1</v>
      </c>
      <c r="E40" s="8" t="s">
        <v>48</v>
      </c>
    </row>
    <row r="41" spans="1:5" ht="12.75" customHeight="1" x14ac:dyDescent="0.2">
      <c r="A41" s="5" t="s">
        <v>55</v>
      </c>
      <c r="B41" s="6">
        <v>0</v>
      </c>
      <c r="C41" s="7" t="s">
        <v>10</v>
      </c>
      <c r="D41" s="6">
        <v>1</v>
      </c>
      <c r="E41" s="8" t="s">
        <v>37</v>
      </c>
    </row>
    <row r="42" spans="1:5" ht="12.75" customHeight="1" thickBot="1" x14ac:dyDescent="0.25">
      <c r="A42" s="5" t="s">
        <v>47</v>
      </c>
      <c r="B42" s="6">
        <v>1</v>
      </c>
      <c r="C42" s="7" t="s">
        <v>10</v>
      </c>
      <c r="D42" s="6">
        <v>2</v>
      </c>
      <c r="E42" s="8" t="s">
        <v>33</v>
      </c>
    </row>
    <row r="43" spans="1:5" ht="12.75" customHeight="1" thickBot="1" x14ac:dyDescent="0.3">
      <c r="A43" s="50" t="s">
        <v>109</v>
      </c>
      <c r="B43" s="27"/>
      <c r="C43" s="27"/>
      <c r="D43" s="27"/>
      <c r="E43" s="28"/>
    </row>
    <row r="44" spans="1:5" ht="12.75" customHeight="1" x14ac:dyDescent="0.2">
      <c r="A44" s="5" t="s">
        <v>35</v>
      </c>
      <c r="B44" s="6">
        <v>1</v>
      </c>
      <c r="C44" s="7" t="s">
        <v>10</v>
      </c>
      <c r="D44" s="6">
        <v>1</v>
      </c>
      <c r="E44" s="8" t="s">
        <v>46</v>
      </c>
    </row>
    <row r="45" spans="1:5" ht="12.75" customHeight="1" x14ac:dyDescent="0.2">
      <c r="A45" s="5" t="s">
        <v>34</v>
      </c>
      <c r="B45" s="6">
        <v>0</v>
      </c>
      <c r="C45" s="7" t="s">
        <v>10</v>
      </c>
      <c r="D45" s="6">
        <v>1</v>
      </c>
      <c r="E45" s="8" t="s">
        <v>51</v>
      </c>
    </row>
    <row r="46" spans="1:5" ht="12.75" customHeight="1" x14ac:dyDescent="0.2">
      <c r="A46" s="5" t="s">
        <v>40</v>
      </c>
      <c r="B46" s="6">
        <v>2</v>
      </c>
      <c r="C46" s="7" t="s">
        <v>10</v>
      </c>
      <c r="D46" s="6">
        <v>1</v>
      </c>
      <c r="E46" s="8" t="s">
        <v>54</v>
      </c>
    </row>
    <row r="47" spans="1:5" ht="12.75" customHeight="1" thickBot="1" x14ac:dyDescent="0.25">
      <c r="A47" s="5" t="s">
        <v>50</v>
      </c>
      <c r="B47" s="6">
        <v>0</v>
      </c>
      <c r="C47" s="7" t="s">
        <v>10</v>
      </c>
      <c r="D47" s="6">
        <v>5</v>
      </c>
      <c r="E47" s="8" t="s">
        <v>41</v>
      </c>
    </row>
    <row r="48" spans="1:5" ht="12.75" customHeight="1" thickBot="1" x14ac:dyDescent="0.3">
      <c r="A48" s="50" t="s">
        <v>110</v>
      </c>
      <c r="B48" s="68"/>
      <c r="C48" s="68"/>
      <c r="D48" s="68"/>
      <c r="E48" s="69"/>
    </row>
    <row r="49" spans="1:5" ht="12.75" customHeight="1" x14ac:dyDescent="0.2">
      <c r="A49" s="5" t="s">
        <v>49</v>
      </c>
      <c r="B49" s="6">
        <v>0</v>
      </c>
      <c r="C49" s="7" t="s">
        <v>10</v>
      </c>
      <c r="D49" s="6">
        <v>1</v>
      </c>
      <c r="E49" s="8" t="s">
        <v>53</v>
      </c>
    </row>
    <row r="50" spans="1:5" ht="12.75" customHeight="1" x14ac:dyDescent="0.2">
      <c r="A50" s="5" t="s">
        <v>107</v>
      </c>
      <c r="B50" s="6">
        <v>2</v>
      </c>
      <c r="C50" s="7" t="s">
        <v>10</v>
      </c>
      <c r="D50" s="6">
        <v>1</v>
      </c>
      <c r="E50" s="8" t="s">
        <v>45</v>
      </c>
    </row>
    <row r="51" spans="1:5" ht="12.75" customHeight="1" x14ac:dyDescent="0.2">
      <c r="A51" s="5"/>
      <c r="B51" s="6"/>
      <c r="C51" s="7" t="s">
        <v>10</v>
      </c>
      <c r="D51" s="6"/>
      <c r="E51" s="8"/>
    </row>
    <row r="52" spans="1:5" ht="12.75" customHeight="1" x14ac:dyDescent="0.2">
      <c r="A52" s="5"/>
      <c r="B52" s="6"/>
      <c r="C52" s="7" t="s">
        <v>10</v>
      </c>
      <c r="D52" s="6"/>
      <c r="E52" s="8"/>
    </row>
    <row r="53" spans="1:5" ht="12.75" customHeight="1" x14ac:dyDescent="0.2">
      <c r="A53" s="5"/>
      <c r="B53" s="6"/>
      <c r="C53" s="7" t="s">
        <v>10</v>
      </c>
      <c r="D53" s="6"/>
      <c r="E53" s="8"/>
    </row>
    <row r="54" spans="1:5" ht="12.75" customHeight="1" x14ac:dyDescent="0.2">
      <c r="A54" s="5"/>
      <c r="B54" s="6"/>
      <c r="C54" s="7" t="s">
        <v>10</v>
      </c>
      <c r="D54" s="6"/>
      <c r="E54" s="8"/>
    </row>
    <row r="55" spans="1:5" ht="12.75" customHeight="1" x14ac:dyDescent="0.2">
      <c r="A55" s="5"/>
      <c r="B55" s="6"/>
      <c r="C55" s="7" t="s">
        <v>10</v>
      </c>
      <c r="D55" s="6"/>
      <c r="E55" s="8"/>
    </row>
    <row r="56" spans="1:5" ht="12.75" customHeight="1" x14ac:dyDescent="0.2">
      <c r="A56" s="5"/>
      <c r="B56" s="6"/>
      <c r="C56" s="7" t="s">
        <v>10</v>
      </c>
      <c r="D56" s="6"/>
      <c r="E56" s="8"/>
    </row>
    <row r="57" spans="1:5" ht="12.75" customHeight="1" x14ac:dyDescent="0.2">
      <c r="A57" s="5"/>
      <c r="B57" s="6"/>
      <c r="C57" s="7" t="s">
        <v>10</v>
      </c>
      <c r="D57" s="6"/>
      <c r="E57" s="8"/>
    </row>
    <row r="58" spans="1:5" ht="12.75" customHeight="1" x14ac:dyDescent="0.2">
      <c r="A58" s="5"/>
      <c r="B58" s="6"/>
      <c r="C58" s="7" t="s">
        <v>10</v>
      </c>
      <c r="D58" s="6"/>
      <c r="E58" s="8"/>
    </row>
    <row r="59" spans="1:5" ht="12.75" customHeight="1" x14ac:dyDescent="0.2">
      <c r="A59" s="5"/>
      <c r="B59" s="6"/>
      <c r="C59" s="7" t="s">
        <v>10</v>
      </c>
      <c r="D59" s="6"/>
      <c r="E59" s="8"/>
    </row>
    <row r="60" spans="1:5" ht="12.75" customHeight="1" x14ac:dyDescent="0.2">
      <c r="A60" s="5"/>
      <c r="B60" s="6"/>
      <c r="C60" s="7" t="s">
        <v>10</v>
      </c>
      <c r="D60" s="6"/>
      <c r="E60" s="8"/>
    </row>
    <row r="61" spans="1:5" ht="12.75" customHeight="1" x14ac:dyDescent="0.2">
      <c r="A61" s="5"/>
      <c r="B61" s="6"/>
      <c r="C61" s="7" t="s">
        <v>10</v>
      </c>
      <c r="D61" s="6"/>
      <c r="E61" s="8"/>
    </row>
    <row r="62" spans="1:5" ht="12.75" customHeight="1" x14ac:dyDescent="0.2">
      <c r="A62" s="5"/>
      <c r="B62" s="6"/>
      <c r="C62" s="7" t="s">
        <v>10</v>
      </c>
      <c r="D62" s="6"/>
      <c r="E62" s="8"/>
    </row>
    <row r="63" spans="1:5" ht="12.75" customHeight="1" x14ac:dyDescent="0.2">
      <c r="A63" s="5"/>
      <c r="B63" s="6"/>
      <c r="C63" s="7" t="s">
        <v>10</v>
      </c>
      <c r="D63" s="6"/>
      <c r="E63" s="8"/>
    </row>
    <row r="64" spans="1:5" ht="12.75" customHeight="1" x14ac:dyDescent="0.2">
      <c r="A64" s="5"/>
      <c r="B64" s="6"/>
      <c r="C64" s="7" t="s">
        <v>10</v>
      </c>
      <c r="D64" s="6"/>
      <c r="E64" s="8"/>
    </row>
    <row r="65" spans="1:5" ht="12.75" customHeight="1" x14ac:dyDescent="0.2">
      <c r="A65" s="5"/>
      <c r="B65" s="6"/>
      <c r="C65" s="7" t="s">
        <v>10</v>
      </c>
      <c r="D65" s="6"/>
      <c r="E65" s="8"/>
    </row>
    <row r="66" spans="1:5" ht="12.75" customHeight="1" x14ac:dyDescent="0.2">
      <c r="A66" s="5"/>
      <c r="B66" s="6"/>
      <c r="C66" s="7" t="s">
        <v>10</v>
      </c>
      <c r="D66" s="6"/>
      <c r="E66" s="8"/>
    </row>
    <row r="67" spans="1:5" ht="12.75" customHeight="1" x14ac:dyDescent="0.2">
      <c r="A67" s="5"/>
      <c r="B67" s="6"/>
      <c r="C67" s="7" t="s">
        <v>10</v>
      </c>
      <c r="D67" s="6"/>
      <c r="E67" s="8"/>
    </row>
    <row r="68" spans="1:5" ht="12.75" customHeight="1" x14ac:dyDescent="0.2">
      <c r="A68" s="5"/>
      <c r="B68" s="6"/>
      <c r="C68" s="7" t="s">
        <v>10</v>
      </c>
      <c r="D68" s="6"/>
      <c r="E68" s="8"/>
    </row>
    <row r="69" spans="1:5" ht="12.75" customHeight="1" x14ac:dyDescent="0.2">
      <c r="A69" s="5"/>
      <c r="B69" s="6"/>
      <c r="C69" s="7" t="s">
        <v>10</v>
      </c>
      <c r="D69" s="6"/>
      <c r="E69" s="8"/>
    </row>
    <row r="70" spans="1:5" ht="12.75" customHeight="1" x14ac:dyDescent="0.2">
      <c r="A70" s="5"/>
      <c r="B70" s="6"/>
      <c r="C70" s="7" t="s">
        <v>10</v>
      </c>
      <c r="D70" s="6"/>
      <c r="E70" s="8"/>
    </row>
    <row r="71" spans="1:5" ht="12.75" customHeight="1" x14ac:dyDescent="0.2">
      <c r="A71" s="5"/>
      <c r="B71" s="6"/>
      <c r="C71" s="7" t="s">
        <v>10</v>
      </c>
      <c r="D71" s="6"/>
      <c r="E71" s="8"/>
    </row>
    <row r="72" spans="1:5" ht="12.75" customHeight="1" x14ac:dyDescent="0.2">
      <c r="A72" s="5"/>
      <c r="B72" s="6"/>
      <c r="C72" s="7" t="s">
        <v>10</v>
      </c>
      <c r="D72" s="6"/>
      <c r="E72" s="8"/>
    </row>
    <row r="73" spans="1:5" ht="12.75" customHeight="1" x14ac:dyDescent="0.2">
      <c r="A73" s="5"/>
      <c r="B73" s="6"/>
      <c r="C73" s="7" t="s">
        <v>10</v>
      </c>
      <c r="D73" s="6"/>
      <c r="E73" s="8"/>
    </row>
    <row r="74" spans="1:5" ht="12.75" customHeight="1" x14ac:dyDescent="0.2">
      <c r="A74" s="5"/>
      <c r="B74" s="6"/>
      <c r="C74" s="7" t="s">
        <v>10</v>
      </c>
      <c r="D74" s="6"/>
      <c r="E74" s="8"/>
    </row>
    <row r="75" spans="1:5" ht="12.75" customHeight="1" x14ac:dyDescent="0.2">
      <c r="A75" s="5"/>
      <c r="B75" s="6"/>
      <c r="C75" s="7"/>
      <c r="D75" s="6"/>
      <c r="E75" s="8"/>
    </row>
    <row r="76" spans="1:5" ht="12.75" customHeight="1" x14ac:dyDescent="0.2">
      <c r="A76" s="5"/>
      <c r="B76" s="6"/>
      <c r="C76" s="7" t="s">
        <v>10</v>
      </c>
      <c r="D76" s="6"/>
      <c r="E76" s="8"/>
    </row>
    <row r="77" spans="1:5" ht="12.75" customHeight="1" x14ac:dyDescent="0.2">
      <c r="A77" s="5"/>
      <c r="B77" s="6"/>
      <c r="C77" s="7" t="s">
        <v>10</v>
      </c>
      <c r="D77" s="6"/>
      <c r="E77" s="8"/>
    </row>
    <row r="78" spans="1:5" ht="12.75" customHeight="1" x14ac:dyDescent="0.2">
      <c r="A78" s="5"/>
      <c r="B78" s="6"/>
      <c r="C78" s="7" t="s">
        <v>10</v>
      </c>
      <c r="D78" s="6"/>
      <c r="E78" s="8"/>
    </row>
    <row r="79" spans="1:5" ht="12.75" customHeight="1" x14ac:dyDescent="0.2">
      <c r="A79" s="5"/>
      <c r="B79" s="6"/>
      <c r="C79" s="7" t="s">
        <v>10</v>
      </c>
      <c r="D79" s="6"/>
      <c r="E79" s="8"/>
    </row>
    <row r="80" spans="1:5" ht="12.75" customHeight="1" x14ac:dyDescent="0.2">
      <c r="A80" s="5"/>
      <c r="B80" s="6"/>
      <c r="C80" s="7" t="s">
        <v>10</v>
      </c>
      <c r="D80" s="6"/>
      <c r="E80" s="8"/>
    </row>
    <row r="81" spans="1:5" ht="12.75" customHeight="1" x14ac:dyDescent="0.2">
      <c r="A81" s="5"/>
      <c r="B81" s="6"/>
      <c r="C81" s="7" t="s">
        <v>10</v>
      </c>
      <c r="D81" s="6"/>
      <c r="E81" s="8"/>
    </row>
    <row r="82" spans="1:5" ht="12.75" customHeight="1" x14ac:dyDescent="0.2">
      <c r="A82" s="5"/>
      <c r="B82" s="6"/>
      <c r="C82" s="7" t="s">
        <v>10</v>
      </c>
      <c r="D82" s="6"/>
      <c r="E82" s="8"/>
    </row>
    <row r="83" spans="1:5" ht="12.75" customHeight="1" x14ac:dyDescent="0.2">
      <c r="A83" s="5"/>
      <c r="B83" s="6"/>
      <c r="C83" s="7" t="s">
        <v>10</v>
      </c>
      <c r="D83" s="6"/>
      <c r="E83" s="8"/>
    </row>
    <row r="84" spans="1:5" ht="12.75" customHeight="1" x14ac:dyDescent="0.2">
      <c r="A84" s="5"/>
      <c r="B84" s="6"/>
      <c r="C84" s="7" t="s">
        <v>10</v>
      </c>
      <c r="D84" s="6"/>
      <c r="E84" s="8"/>
    </row>
    <row r="85" spans="1:5" ht="12.75" customHeight="1" x14ac:dyDescent="0.2">
      <c r="A85" s="5"/>
      <c r="B85" s="6"/>
      <c r="C85" s="7" t="s">
        <v>10</v>
      </c>
      <c r="D85" s="6"/>
      <c r="E85" s="8"/>
    </row>
    <row r="86" spans="1:5" ht="12.75" customHeight="1" x14ac:dyDescent="0.2">
      <c r="A86" s="5"/>
      <c r="B86" s="6"/>
      <c r="C86" s="7" t="s">
        <v>10</v>
      </c>
      <c r="D86" s="6"/>
      <c r="E86" s="8"/>
    </row>
    <row r="87" spans="1:5" ht="12.75" customHeight="1" x14ac:dyDescent="0.2">
      <c r="A87" s="5"/>
      <c r="B87" s="6"/>
      <c r="C87" s="7" t="s">
        <v>10</v>
      </c>
      <c r="D87" s="6"/>
      <c r="E87" s="8"/>
    </row>
    <row r="88" spans="1:5" ht="12.75" customHeight="1" x14ac:dyDescent="0.2">
      <c r="A88" s="5"/>
      <c r="B88" s="6"/>
      <c r="C88" s="7" t="s">
        <v>10</v>
      </c>
      <c r="D88" s="6"/>
      <c r="E88" s="8"/>
    </row>
    <row r="89" spans="1:5" ht="12.75" customHeight="1" x14ac:dyDescent="0.2">
      <c r="A89" s="5"/>
      <c r="B89" s="6"/>
      <c r="C89" s="7" t="s">
        <v>10</v>
      </c>
      <c r="D89" s="6"/>
      <c r="E89" s="8"/>
    </row>
    <row r="90" spans="1:5" ht="12.75" customHeight="1" x14ac:dyDescent="0.2">
      <c r="A90" s="5"/>
      <c r="B90" s="6"/>
      <c r="C90" s="7" t="s">
        <v>10</v>
      </c>
      <c r="D90" s="6"/>
      <c r="E90" s="8"/>
    </row>
    <row r="91" spans="1:5" ht="12.75" customHeight="1" x14ac:dyDescent="0.2">
      <c r="A91" s="5"/>
      <c r="B91" s="6"/>
      <c r="C91" s="7" t="s">
        <v>10</v>
      </c>
      <c r="D91" s="6"/>
      <c r="E91" s="8"/>
    </row>
    <row r="92" spans="1:5" ht="12.75" customHeight="1" x14ac:dyDescent="0.2">
      <c r="A92" s="5"/>
      <c r="B92" s="6"/>
      <c r="C92" s="7" t="s">
        <v>10</v>
      </c>
      <c r="D92" s="6"/>
      <c r="E92" s="8"/>
    </row>
    <row r="93" spans="1:5" ht="12.75" customHeight="1" x14ac:dyDescent="0.2">
      <c r="A93" s="5"/>
      <c r="B93" s="6"/>
      <c r="C93" s="7" t="s">
        <v>10</v>
      </c>
      <c r="D93" s="6"/>
      <c r="E93" s="8"/>
    </row>
    <row r="94" spans="1:5" ht="12.75" customHeight="1" x14ac:dyDescent="0.2">
      <c r="A94" s="5"/>
      <c r="B94" s="6"/>
      <c r="C94" s="7" t="s">
        <v>10</v>
      </c>
      <c r="D94" s="6"/>
      <c r="E94" s="8"/>
    </row>
    <row r="95" spans="1:5" ht="12.75" customHeight="1" x14ac:dyDescent="0.2">
      <c r="A95" s="5"/>
      <c r="B95" s="6"/>
      <c r="C95" s="7" t="s">
        <v>10</v>
      </c>
      <c r="D95" s="6"/>
      <c r="E95" s="8"/>
    </row>
    <row r="96" spans="1:5" ht="12.75" customHeight="1" x14ac:dyDescent="0.2">
      <c r="A96" s="5"/>
      <c r="B96" s="6"/>
      <c r="C96" s="7" t="s">
        <v>10</v>
      </c>
      <c r="D96" s="6"/>
      <c r="E96" s="8"/>
    </row>
    <row r="97" spans="1:5" ht="12.75" customHeight="1" x14ac:dyDescent="0.2">
      <c r="A97" s="5"/>
      <c r="B97" s="6"/>
      <c r="C97" s="7" t="s">
        <v>10</v>
      </c>
      <c r="D97" s="6"/>
      <c r="E97" s="8"/>
    </row>
    <row r="98" spans="1:5" ht="12.75" customHeight="1" x14ac:dyDescent="0.2">
      <c r="A98" s="5"/>
      <c r="B98" s="6"/>
      <c r="C98" s="7" t="s">
        <v>10</v>
      </c>
      <c r="D98" s="6"/>
      <c r="E98" s="8"/>
    </row>
    <row r="99" spans="1:5" ht="12.75" customHeight="1" x14ac:dyDescent="0.2">
      <c r="A99" s="5"/>
      <c r="B99" s="6"/>
      <c r="C99" s="7" t="s">
        <v>10</v>
      </c>
      <c r="D99" s="6"/>
      <c r="E99" s="8"/>
    </row>
    <row r="100" spans="1:5" ht="12.75" customHeight="1" x14ac:dyDescent="0.2">
      <c r="A100" s="5"/>
      <c r="B100" s="6"/>
      <c r="C100" s="7" t="s">
        <v>10</v>
      </c>
      <c r="D100" s="6"/>
      <c r="E100" s="8"/>
    </row>
    <row r="101" spans="1:5" ht="12.75" customHeight="1" x14ac:dyDescent="0.2">
      <c r="A101" s="5"/>
      <c r="B101" s="6"/>
      <c r="C101" s="7" t="s">
        <v>10</v>
      </c>
      <c r="D101" s="6"/>
      <c r="E101" s="8"/>
    </row>
    <row r="102" spans="1:5" ht="12.75" customHeight="1" x14ac:dyDescent="0.2">
      <c r="A102" s="5"/>
      <c r="B102" s="6"/>
      <c r="C102" s="7" t="s">
        <v>10</v>
      </c>
      <c r="D102" s="6"/>
      <c r="E102" s="8"/>
    </row>
    <row r="103" spans="1:5" ht="12.75" customHeight="1" x14ac:dyDescent="0.2">
      <c r="A103" s="5"/>
      <c r="B103" s="6"/>
      <c r="C103" s="7" t="s">
        <v>10</v>
      </c>
      <c r="D103" s="6"/>
      <c r="E103" s="8"/>
    </row>
    <row r="104" spans="1:5" ht="12.75" customHeight="1" x14ac:dyDescent="0.2">
      <c r="A104" s="5"/>
      <c r="B104" s="6"/>
      <c r="C104" s="7" t="s">
        <v>10</v>
      </c>
      <c r="D104" s="6"/>
      <c r="E104" s="8"/>
    </row>
    <row r="105" spans="1:5" ht="12.75" customHeight="1" x14ac:dyDescent="0.2">
      <c r="A105" s="5"/>
      <c r="B105" s="6"/>
      <c r="C105" s="7" t="s">
        <v>10</v>
      </c>
      <c r="D105" s="6"/>
      <c r="E105" s="8"/>
    </row>
    <row r="106" spans="1:5" ht="12.75" customHeight="1" x14ac:dyDescent="0.2">
      <c r="A106" s="5"/>
      <c r="B106" s="6"/>
      <c r="C106" s="7" t="s">
        <v>10</v>
      </c>
      <c r="D106" s="6"/>
      <c r="E106" s="8"/>
    </row>
    <row r="107" spans="1:5" ht="12.75" customHeight="1" x14ac:dyDescent="0.2">
      <c r="A107" s="5"/>
      <c r="B107" s="6"/>
      <c r="C107" s="7" t="s">
        <v>10</v>
      </c>
      <c r="D107" s="6"/>
      <c r="E107" s="8"/>
    </row>
    <row r="108" spans="1:5" ht="12.75" customHeight="1" x14ac:dyDescent="0.2">
      <c r="A108" s="5"/>
      <c r="B108" s="6"/>
      <c r="C108" s="7" t="s">
        <v>10</v>
      </c>
      <c r="D108" s="6"/>
      <c r="E108" s="8"/>
    </row>
    <row r="109" spans="1:5" ht="12.75" customHeight="1" x14ac:dyDescent="0.2">
      <c r="A109" s="5"/>
      <c r="B109" s="6"/>
      <c r="C109" s="7" t="s">
        <v>10</v>
      </c>
      <c r="D109" s="6"/>
      <c r="E109" s="8"/>
    </row>
    <row r="110" spans="1:5" ht="12.75" customHeight="1" x14ac:dyDescent="0.2">
      <c r="A110" s="5"/>
      <c r="B110" s="6"/>
      <c r="C110" s="7" t="s">
        <v>10</v>
      </c>
      <c r="D110" s="6"/>
      <c r="E110" s="8"/>
    </row>
    <row r="111" spans="1:5" ht="12.75" customHeight="1" x14ac:dyDescent="0.2">
      <c r="A111" s="5"/>
      <c r="B111" s="6"/>
      <c r="C111" s="7" t="s">
        <v>10</v>
      </c>
      <c r="D111" s="6"/>
      <c r="E111" s="8"/>
    </row>
    <row r="112" spans="1:5" ht="12.75" customHeight="1" x14ac:dyDescent="0.2">
      <c r="A112" s="5"/>
      <c r="B112" s="6"/>
      <c r="C112" s="7" t="s">
        <v>10</v>
      </c>
      <c r="D112" s="6"/>
      <c r="E112" s="8"/>
    </row>
    <row r="113" spans="1:5" ht="12.75" customHeight="1" x14ac:dyDescent="0.2">
      <c r="A113" s="5"/>
      <c r="B113" s="6"/>
      <c r="C113" s="7" t="s">
        <v>10</v>
      </c>
      <c r="D113" s="6"/>
      <c r="E113" s="8"/>
    </row>
    <row r="114" spans="1:5" ht="12.75" customHeight="1" x14ac:dyDescent="0.2">
      <c r="A114" s="5"/>
      <c r="B114" s="6"/>
      <c r="C114" s="7" t="s">
        <v>10</v>
      </c>
      <c r="D114" s="6"/>
      <c r="E114" s="8"/>
    </row>
    <row r="115" spans="1:5" ht="12.75" customHeight="1" x14ac:dyDescent="0.2">
      <c r="A115" s="5"/>
      <c r="B115" s="6"/>
      <c r="C115" s="7" t="s">
        <v>10</v>
      </c>
      <c r="D115" s="6"/>
      <c r="E115" s="8"/>
    </row>
    <row r="116" spans="1:5" ht="12.75" customHeight="1" x14ac:dyDescent="0.2">
      <c r="A116" s="5"/>
      <c r="B116" s="6"/>
      <c r="C116" s="7" t="s">
        <v>10</v>
      </c>
      <c r="D116" s="6"/>
      <c r="E116" s="8"/>
    </row>
    <row r="117" spans="1:5" ht="12.75" customHeight="1" x14ac:dyDescent="0.2">
      <c r="A117" s="5"/>
      <c r="B117" s="6"/>
      <c r="C117" s="7" t="s">
        <v>10</v>
      </c>
      <c r="D117" s="6"/>
      <c r="E117" s="8"/>
    </row>
    <row r="118" spans="1:5" ht="12.75" customHeight="1" x14ac:dyDescent="0.2">
      <c r="A118" s="5"/>
      <c r="B118" s="6"/>
      <c r="C118" s="7" t="s">
        <v>10</v>
      </c>
      <c r="D118" s="6"/>
      <c r="E118" s="8"/>
    </row>
    <row r="119" spans="1:5" ht="12.75" customHeight="1" x14ac:dyDescent="0.2">
      <c r="A119" s="5"/>
      <c r="B119" s="6"/>
      <c r="C119" s="7" t="s">
        <v>10</v>
      </c>
      <c r="D119" s="6"/>
      <c r="E119" s="8"/>
    </row>
    <row r="120" spans="1:5" ht="12.75" customHeight="1" x14ac:dyDescent="0.2">
      <c r="A120" s="5"/>
      <c r="B120" s="6"/>
      <c r="C120" s="7" t="s">
        <v>10</v>
      </c>
      <c r="D120" s="6"/>
      <c r="E120" s="8"/>
    </row>
    <row r="121" spans="1:5" ht="12.75" customHeight="1" x14ac:dyDescent="0.2">
      <c r="A121" s="5"/>
      <c r="B121" s="6"/>
      <c r="C121" s="7" t="s">
        <v>10</v>
      </c>
      <c r="D121" s="6"/>
      <c r="E121" s="8"/>
    </row>
    <row r="122" spans="1:5" ht="12.75" customHeight="1" x14ac:dyDescent="0.2">
      <c r="A122" s="5"/>
      <c r="B122" s="6"/>
      <c r="C122" s="7" t="s">
        <v>10</v>
      </c>
      <c r="D122" s="6"/>
      <c r="E122" s="8"/>
    </row>
    <row r="123" spans="1:5" ht="12.75" customHeight="1" x14ac:dyDescent="0.2">
      <c r="A123" s="5"/>
      <c r="B123" s="6"/>
      <c r="C123" s="7" t="s">
        <v>10</v>
      </c>
      <c r="D123" s="6"/>
      <c r="E123" s="8"/>
    </row>
    <row r="124" spans="1:5" ht="12.75" customHeight="1" x14ac:dyDescent="0.2">
      <c r="A124" s="5"/>
      <c r="B124" s="6"/>
      <c r="C124" s="7" t="s">
        <v>10</v>
      </c>
      <c r="D124" s="6"/>
      <c r="E124" s="8"/>
    </row>
    <row r="125" spans="1:5" ht="12.75" customHeight="1" x14ac:dyDescent="0.2">
      <c r="A125" s="5"/>
      <c r="B125" s="6"/>
      <c r="C125" s="7" t="s">
        <v>10</v>
      </c>
      <c r="D125" s="6"/>
      <c r="E125" s="8"/>
    </row>
    <row r="126" spans="1:5" ht="12.75" customHeight="1" x14ac:dyDescent="0.2">
      <c r="A126" s="5"/>
      <c r="B126" s="6"/>
      <c r="C126" s="7" t="s">
        <v>10</v>
      </c>
      <c r="D126" s="6"/>
      <c r="E126" s="8"/>
    </row>
    <row r="127" spans="1:5" ht="12.75" customHeight="1" x14ac:dyDescent="0.2">
      <c r="A127" s="5"/>
      <c r="B127" s="6"/>
      <c r="C127" s="7" t="s">
        <v>10</v>
      </c>
      <c r="D127" s="6"/>
      <c r="E127" s="8"/>
    </row>
    <row r="128" spans="1:5" ht="12.75" customHeight="1" x14ac:dyDescent="0.2">
      <c r="A128" s="5"/>
      <c r="B128" s="6"/>
      <c r="C128" s="7" t="s">
        <v>10</v>
      </c>
      <c r="D128" s="6"/>
      <c r="E128" s="8"/>
    </row>
    <row r="129" spans="1:5" ht="12.75" customHeight="1" x14ac:dyDescent="0.2">
      <c r="A129" s="5"/>
      <c r="B129" s="6"/>
      <c r="C129" s="7" t="s">
        <v>10</v>
      </c>
      <c r="D129" s="6"/>
      <c r="E129" s="8"/>
    </row>
    <row r="130" spans="1:5" ht="12.75" customHeight="1" x14ac:dyDescent="0.2">
      <c r="A130" s="5"/>
      <c r="B130" s="6"/>
      <c r="C130" s="7" t="s">
        <v>10</v>
      </c>
      <c r="D130" s="6"/>
      <c r="E130" s="8"/>
    </row>
    <row r="131" spans="1:5" ht="12.75" customHeight="1" x14ac:dyDescent="0.2">
      <c r="A131" s="5"/>
      <c r="B131" s="6"/>
      <c r="C131" s="7" t="s">
        <v>10</v>
      </c>
      <c r="D131" s="6"/>
      <c r="E131" s="8"/>
    </row>
    <row r="132" spans="1:5" ht="12.75" customHeight="1" x14ac:dyDescent="0.2">
      <c r="A132" s="5"/>
      <c r="B132" s="6"/>
      <c r="C132" s="7" t="s">
        <v>10</v>
      </c>
      <c r="D132" s="6"/>
      <c r="E132" s="8"/>
    </row>
    <row r="133" spans="1:5" ht="12.75" customHeight="1" x14ac:dyDescent="0.2">
      <c r="A133" s="5"/>
      <c r="B133" s="6"/>
      <c r="C133" s="7" t="s">
        <v>10</v>
      </c>
      <c r="D133" s="6"/>
      <c r="E133" s="8"/>
    </row>
    <row r="134" spans="1:5" ht="12.75" customHeight="1" x14ac:dyDescent="0.2">
      <c r="A134" s="5"/>
      <c r="B134" s="6"/>
      <c r="C134" s="7" t="s">
        <v>10</v>
      </c>
      <c r="D134" s="6"/>
      <c r="E134" s="8"/>
    </row>
    <row r="135" spans="1:5" ht="12.75" customHeight="1" x14ac:dyDescent="0.2">
      <c r="A135" s="5"/>
      <c r="B135" s="6"/>
      <c r="C135" s="7" t="s">
        <v>10</v>
      </c>
      <c r="D135" s="6"/>
      <c r="E135" s="8"/>
    </row>
    <row r="136" spans="1:5" ht="12.75" customHeight="1" x14ac:dyDescent="0.2">
      <c r="A136" s="5"/>
      <c r="B136" s="6"/>
      <c r="C136" s="7" t="s">
        <v>10</v>
      </c>
      <c r="D136" s="6"/>
      <c r="E136" s="8"/>
    </row>
    <row r="137" spans="1:5" ht="12.75" customHeight="1" x14ac:dyDescent="0.2">
      <c r="A137" s="5"/>
      <c r="B137" s="6"/>
      <c r="C137" s="7" t="s">
        <v>10</v>
      </c>
      <c r="D137" s="6"/>
      <c r="E137" s="8"/>
    </row>
    <row r="138" spans="1:5" ht="12.75" customHeight="1" x14ac:dyDescent="0.2">
      <c r="A138" s="5"/>
      <c r="B138" s="6"/>
      <c r="C138" s="7" t="s">
        <v>10</v>
      </c>
      <c r="D138" s="6"/>
      <c r="E138" s="8"/>
    </row>
    <row r="139" spans="1:5" ht="12.75" customHeight="1" x14ac:dyDescent="0.2">
      <c r="A139" s="5"/>
      <c r="B139" s="6"/>
      <c r="C139" s="7" t="s">
        <v>10</v>
      </c>
      <c r="D139" s="6"/>
      <c r="E139" s="8"/>
    </row>
    <row r="140" spans="1:5" ht="12.75" customHeight="1" x14ac:dyDescent="0.2">
      <c r="A140" s="5"/>
      <c r="B140" s="6"/>
      <c r="C140" s="7" t="s">
        <v>10</v>
      </c>
      <c r="D140" s="6"/>
      <c r="E140" s="8"/>
    </row>
    <row r="141" spans="1:5" ht="12.75" customHeight="1" x14ac:dyDescent="0.2">
      <c r="A141" s="5"/>
      <c r="B141" s="6"/>
      <c r="C141" s="7" t="s">
        <v>10</v>
      </c>
      <c r="D141" s="6"/>
      <c r="E141" s="8"/>
    </row>
    <row r="142" spans="1:5" ht="12.75" customHeight="1" x14ac:dyDescent="0.2">
      <c r="A142" s="5"/>
      <c r="B142" s="6"/>
      <c r="C142" s="7" t="s">
        <v>10</v>
      </c>
      <c r="D142" s="6"/>
      <c r="E142" s="8"/>
    </row>
    <row r="143" spans="1:5" ht="12.75" customHeight="1" x14ac:dyDescent="0.2">
      <c r="A143" s="5"/>
      <c r="B143" s="6"/>
      <c r="C143" s="7" t="s">
        <v>10</v>
      </c>
      <c r="D143" s="6"/>
      <c r="E143" s="8"/>
    </row>
    <row r="144" spans="1:5" ht="12.75" customHeight="1" x14ac:dyDescent="0.2">
      <c r="A144" s="5"/>
      <c r="B144" s="6"/>
      <c r="C144" s="7" t="s">
        <v>10</v>
      </c>
      <c r="D144" s="6"/>
      <c r="E144" s="8"/>
    </row>
    <row r="145" spans="1:5" ht="12.75" customHeight="1" x14ac:dyDescent="0.2">
      <c r="A145" s="5"/>
      <c r="B145" s="6"/>
      <c r="C145" s="7" t="s">
        <v>10</v>
      </c>
      <c r="D145" s="6"/>
      <c r="E145" s="8"/>
    </row>
    <row r="146" spans="1:5" ht="12.75" customHeight="1" x14ac:dyDescent="0.2">
      <c r="A146" s="5"/>
      <c r="B146" s="6"/>
      <c r="C146" s="7" t="s">
        <v>10</v>
      </c>
      <c r="D146" s="6"/>
      <c r="E146" s="8"/>
    </row>
    <row r="147" spans="1:5" ht="12.75" customHeight="1" x14ac:dyDescent="0.2">
      <c r="A147" s="5"/>
      <c r="B147" s="6"/>
      <c r="C147" s="7" t="s">
        <v>10</v>
      </c>
      <c r="D147" s="6"/>
      <c r="E147" s="8"/>
    </row>
    <row r="148" spans="1:5" ht="12.75" customHeight="1" x14ac:dyDescent="0.2">
      <c r="A148" s="5"/>
      <c r="B148" s="6"/>
      <c r="C148" s="7" t="s">
        <v>10</v>
      </c>
      <c r="D148" s="6"/>
      <c r="E148" s="8"/>
    </row>
    <row r="149" spans="1:5" ht="12.75" customHeight="1" x14ac:dyDescent="0.2">
      <c r="A149" s="5"/>
      <c r="B149" s="6"/>
      <c r="C149" s="7" t="s">
        <v>10</v>
      </c>
      <c r="D149" s="6"/>
      <c r="E149" s="8"/>
    </row>
    <row r="150" spans="1:5" ht="12.75" customHeight="1" x14ac:dyDescent="0.2">
      <c r="A150" s="5"/>
      <c r="B150" s="6"/>
      <c r="C150" s="7" t="s">
        <v>10</v>
      </c>
      <c r="D150" s="6"/>
      <c r="E150" s="8"/>
    </row>
    <row r="151" spans="1:5" ht="12.75" customHeight="1" x14ac:dyDescent="0.2">
      <c r="A151" s="5"/>
      <c r="B151" s="6"/>
      <c r="C151" s="7" t="s">
        <v>10</v>
      </c>
      <c r="D151" s="6"/>
      <c r="E151" s="8"/>
    </row>
    <row r="152" spans="1:5" ht="12.75" customHeight="1" x14ac:dyDescent="0.2">
      <c r="A152" s="5"/>
      <c r="B152" s="6"/>
      <c r="C152" s="7" t="s">
        <v>10</v>
      </c>
      <c r="D152" s="6"/>
      <c r="E152" s="8"/>
    </row>
    <row r="153" spans="1:5" ht="12.75" customHeight="1" x14ac:dyDescent="0.2">
      <c r="A153" s="5"/>
      <c r="B153" s="6"/>
      <c r="C153" s="7" t="s">
        <v>10</v>
      </c>
      <c r="D153" s="6"/>
      <c r="E153" s="8"/>
    </row>
    <row r="154" spans="1:5" ht="12.75" customHeight="1" x14ac:dyDescent="0.2">
      <c r="A154" s="5"/>
      <c r="B154" s="6"/>
      <c r="C154" s="7" t="s">
        <v>10</v>
      </c>
      <c r="D154" s="6"/>
      <c r="E154" s="8"/>
    </row>
    <row r="155" spans="1:5" ht="12.75" customHeight="1" x14ac:dyDescent="0.2">
      <c r="A155" s="5"/>
      <c r="B155" s="6"/>
      <c r="C155" s="7" t="s">
        <v>10</v>
      </c>
      <c r="D155" s="6"/>
      <c r="E155" s="8"/>
    </row>
    <row r="156" spans="1:5" ht="12.75" customHeight="1" x14ac:dyDescent="0.2">
      <c r="A156" s="5"/>
      <c r="B156" s="6"/>
      <c r="C156" s="7" t="s">
        <v>10</v>
      </c>
      <c r="D156" s="6"/>
      <c r="E156" s="8"/>
    </row>
    <row r="157" spans="1:5" ht="12.75" customHeight="1" x14ac:dyDescent="0.2">
      <c r="A157" s="5"/>
      <c r="B157" s="6"/>
      <c r="C157" s="7" t="s">
        <v>10</v>
      </c>
      <c r="D157" s="6"/>
      <c r="E157" s="8"/>
    </row>
    <row r="158" spans="1:5" ht="12.75" customHeight="1" x14ac:dyDescent="0.2">
      <c r="A158" s="5"/>
      <c r="B158" s="6"/>
      <c r="C158" s="7" t="s">
        <v>10</v>
      </c>
      <c r="D158" s="6"/>
      <c r="E158" s="8"/>
    </row>
    <row r="159" spans="1:5" ht="12.75" customHeight="1" x14ac:dyDescent="0.2">
      <c r="A159" s="5"/>
      <c r="B159" s="6"/>
      <c r="C159" s="7" t="s">
        <v>10</v>
      </c>
      <c r="D159" s="6"/>
      <c r="E159" s="8"/>
    </row>
    <row r="160" spans="1:5" ht="12.75" customHeight="1" x14ac:dyDescent="0.2">
      <c r="A160" s="5"/>
      <c r="B160" s="6"/>
      <c r="C160" s="7" t="s">
        <v>10</v>
      </c>
      <c r="D160" s="6"/>
      <c r="E160" s="8"/>
    </row>
    <row r="161" spans="1:5" ht="12.75" customHeight="1" x14ac:dyDescent="0.2">
      <c r="A161" s="5"/>
      <c r="B161" s="6"/>
      <c r="C161" s="7" t="s">
        <v>10</v>
      </c>
      <c r="D161" s="6"/>
      <c r="E161" s="8"/>
    </row>
    <row r="162" spans="1:5" ht="12.75" customHeight="1" x14ac:dyDescent="0.2">
      <c r="A162" s="5"/>
      <c r="B162" s="6"/>
      <c r="C162" s="7" t="s">
        <v>10</v>
      </c>
      <c r="D162" s="6"/>
      <c r="E162" s="8"/>
    </row>
    <row r="163" spans="1:5" ht="12.75" customHeight="1" x14ac:dyDescent="0.2">
      <c r="A163" s="5"/>
      <c r="B163" s="6"/>
      <c r="C163" s="7" t="s">
        <v>10</v>
      </c>
      <c r="D163" s="6"/>
      <c r="E163" s="8"/>
    </row>
    <row r="164" spans="1:5" ht="12.75" customHeight="1" x14ac:dyDescent="0.2">
      <c r="A164" s="5"/>
      <c r="B164" s="6"/>
      <c r="C164" s="7" t="s">
        <v>10</v>
      </c>
      <c r="D164" s="6"/>
      <c r="E164" s="8"/>
    </row>
    <row r="165" spans="1:5" ht="12.75" customHeight="1" x14ac:dyDescent="0.2">
      <c r="A165" s="5"/>
      <c r="B165" s="6"/>
      <c r="C165" s="7" t="s">
        <v>10</v>
      </c>
      <c r="D165" s="6"/>
      <c r="E165" s="8"/>
    </row>
    <row r="166" spans="1:5" ht="12.75" customHeight="1" x14ac:dyDescent="0.2">
      <c r="A166" s="5"/>
      <c r="B166" s="6"/>
      <c r="C166" s="7" t="s">
        <v>10</v>
      </c>
      <c r="D166" s="6"/>
      <c r="E166" s="8"/>
    </row>
    <row r="167" spans="1:5" ht="12.75" customHeight="1" x14ac:dyDescent="0.2">
      <c r="A167" s="5"/>
      <c r="B167" s="6"/>
      <c r="C167" s="7" t="s">
        <v>10</v>
      </c>
      <c r="D167" s="6"/>
      <c r="E167" s="8"/>
    </row>
    <row r="168" spans="1:5" ht="12.75" customHeight="1" x14ac:dyDescent="0.2">
      <c r="A168" s="5"/>
      <c r="B168" s="6"/>
      <c r="C168" s="7" t="s">
        <v>10</v>
      </c>
      <c r="D168" s="6"/>
      <c r="E168" s="8"/>
    </row>
    <row r="169" spans="1:5" ht="12.75" customHeight="1" x14ac:dyDescent="0.2">
      <c r="A169" s="5"/>
      <c r="B169" s="6"/>
      <c r="C169" s="7" t="s">
        <v>10</v>
      </c>
      <c r="D169" s="6"/>
      <c r="E169" s="8"/>
    </row>
    <row r="170" spans="1:5" ht="12.75" customHeight="1" x14ac:dyDescent="0.2">
      <c r="A170" s="5"/>
      <c r="B170" s="6"/>
      <c r="C170" s="7" t="s">
        <v>10</v>
      </c>
      <c r="D170" s="6"/>
      <c r="E170" s="8"/>
    </row>
    <row r="171" spans="1:5" ht="12.75" customHeight="1" x14ac:dyDescent="0.2">
      <c r="A171" s="5"/>
      <c r="B171" s="6"/>
      <c r="C171" s="7" t="s">
        <v>10</v>
      </c>
      <c r="D171" s="6"/>
      <c r="E171" s="8"/>
    </row>
    <row r="172" spans="1:5" ht="12.75" customHeight="1" x14ac:dyDescent="0.2">
      <c r="A172" s="5"/>
      <c r="B172" s="6"/>
      <c r="C172" s="7" t="s">
        <v>10</v>
      </c>
      <c r="D172" s="6"/>
      <c r="E172" s="8"/>
    </row>
    <row r="173" spans="1:5" ht="12.75" customHeight="1" x14ac:dyDescent="0.2">
      <c r="A173" s="5"/>
      <c r="B173" s="6"/>
      <c r="C173" s="7" t="s">
        <v>10</v>
      </c>
      <c r="D173" s="6"/>
      <c r="E173" s="8"/>
    </row>
    <row r="174" spans="1:5" ht="12.75" customHeight="1" x14ac:dyDescent="0.2">
      <c r="A174" s="5"/>
      <c r="B174" s="6"/>
      <c r="C174" s="7" t="s">
        <v>10</v>
      </c>
      <c r="D174" s="6"/>
      <c r="E174" s="8"/>
    </row>
    <row r="175" spans="1:5" ht="12.75" customHeight="1" x14ac:dyDescent="0.2">
      <c r="A175" s="5"/>
      <c r="B175" s="6"/>
      <c r="C175" s="7" t="s">
        <v>10</v>
      </c>
      <c r="D175" s="6"/>
      <c r="E175" s="8"/>
    </row>
    <row r="176" spans="1:5" ht="12.75" customHeight="1" x14ac:dyDescent="0.2">
      <c r="A176" s="5"/>
      <c r="B176" s="6"/>
      <c r="C176" s="7" t="s">
        <v>10</v>
      </c>
      <c r="D176" s="6"/>
      <c r="E176" s="8"/>
    </row>
    <row r="177" spans="1:5" ht="12.75" customHeight="1" x14ac:dyDescent="0.2">
      <c r="A177" s="5"/>
      <c r="B177" s="6"/>
      <c r="C177" s="7" t="s">
        <v>10</v>
      </c>
      <c r="D177" s="6"/>
      <c r="E177" s="8"/>
    </row>
    <row r="178" spans="1:5" ht="12.75" customHeight="1" x14ac:dyDescent="0.2">
      <c r="A178" s="5"/>
      <c r="B178" s="6"/>
      <c r="C178" s="7" t="s">
        <v>10</v>
      </c>
      <c r="D178" s="6"/>
      <c r="E178" s="8"/>
    </row>
    <row r="179" spans="1:5" ht="12.75" customHeight="1" x14ac:dyDescent="0.2">
      <c r="A179" s="5"/>
      <c r="B179" s="6"/>
      <c r="C179" s="7" t="s">
        <v>10</v>
      </c>
      <c r="D179" s="6"/>
      <c r="E179" s="8"/>
    </row>
    <row r="180" spans="1:5" ht="12.75" customHeight="1" x14ac:dyDescent="0.2">
      <c r="A180" s="5"/>
      <c r="B180" s="6"/>
      <c r="C180" s="7"/>
      <c r="D180" s="6"/>
      <c r="E180" s="8"/>
    </row>
    <row r="181" spans="1:5" ht="12.75" customHeight="1" x14ac:dyDescent="0.2">
      <c r="A181" s="5"/>
      <c r="B181" s="6"/>
      <c r="C181" s="7" t="s">
        <v>10</v>
      </c>
      <c r="D181" s="6"/>
      <c r="E181" s="8"/>
    </row>
    <row r="182" spans="1:5" ht="12.75" customHeight="1" x14ac:dyDescent="0.2">
      <c r="A182" s="5"/>
      <c r="B182" s="6"/>
      <c r="C182" s="7" t="s">
        <v>10</v>
      </c>
      <c r="D182" s="6"/>
      <c r="E182" s="8"/>
    </row>
    <row r="183" spans="1:5" ht="12.75" customHeight="1" x14ac:dyDescent="0.2">
      <c r="A183" s="5"/>
      <c r="B183" s="6"/>
      <c r="C183" s="7" t="s">
        <v>10</v>
      </c>
      <c r="D183" s="6"/>
      <c r="E183" s="8"/>
    </row>
    <row r="184" spans="1:5" ht="12.75" customHeight="1" x14ac:dyDescent="0.2">
      <c r="A184" s="5"/>
      <c r="B184" s="6"/>
      <c r="C184" s="7" t="s">
        <v>10</v>
      </c>
      <c r="D184" s="6"/>
      <c r="E184" s="8"/>
    </row>
    <row r="185" spans="1:5" ht="12.75" customHeight="1" x14ac:dyDescent="0.2">
      <c r="A185" s="5"/>
      <c r="B185" s="6"/>
      <c r="C185" s="7" t="s">
        <v>10</v>
      </c>
      <c r="D185" s="6"/>
      <c r="E185" s="8"/>
    </row>
    <row r="186" spans="1:5" ht="12.75" customHeight="1" x14ac:dyDescent="0.2">
      <c r="A186" s="5"/>
      <c r="B186" s="6"/>
      <c r="C186" s="7" t="s">
        <v>10</v>
      </c>
      <c r="D186" s="6"/>
      <c r="E186" s="8"/>
    </row>
    <row r="187" spans="1:5" ht="12.75" customHeight="1" x14ac:dyDescent="0.2">
      <c r="A187" s="5"/>
      <c r="B187" s="6"/>
      <c r="C187" s="7" t="s">
        <v>10</v>
      </c>
      <c r="D187" s="6"/>
      <c r="E187" s="8"/>
    </row>
    <row r="188" spans="1:5" ht="12.75" customHeight="1" x14ac:dyDescent="0.2">
      <c r="A188" s="5"/>
      <c r="B188" s="6"/>
      <c r="C188" s="7" t="s">
        <v>10</v>
      </c>
      <c r="D188" s="6"/>
      <c r="E188" s="8"/>
    </row>
    <row r="189" spans="1:5" ht="12.75" customHeight="1" x14ac:dyDescent="0.2">
      <c r="A189" s="5"/>
      <c r="B189" s="6"/>
      <c r="C189" s="7" t="s">
        <v>10</v>
      </c>
      <c r="D189" s="6"/>
      <c r="E189" s="8"/>
    </row>
    <row r="190" spans="1:5" ht="12.75" customHeight="1" x14ac:dyDescent="0.2">
      <c r="A190" s="5"/>
      <c r="B190" s="6"/>
      <c r="C190" s="7" t="s">
        <v>10</v>
      </c>
      <c r="D190" s="6"/>
      <c r="E190" s="8"/>
    </row>
    <row r="191" spans="1:5" ht="12.75" customHeight="1" x14ac:dyDescent="0.2">
      <c r="A191" s="5"/>
      <c r="B191" s="6"/>
      <c r="C191" s="7" t="s">
        <v>10</v>
      </c>
      <c r="D191" s="6"/>
      <c r="E191" s="8"/>
    </row>
    <row r="192" spans="1:5" ht="12.75" customHeight="1" x14ac:dyDescent="0.2">
      <c r="A192" s="5"/>
      <c r="B192" s="6"/>
      <c r="C192" s="7" t="s">
        <v>10</v>
      </c>
      <c r="D192" s="6"/>
      <c r="E192" s="8"/>
    </row>
    <row r="193" spans="1:5" ht="12.75" customHeight="1" x14ac:dyDescent="0.2">
      <c r="A193" s="5"/>
      <c r="B193" s="6"/>
      <c r="C193" s="7" t="s">
        <v>10</v>
      </c>
      <c r="D193" s="6"/>
      <c r="E193" s="8"/>
    </row>
    <row r="194" spans="1:5" ht="12.75" customHeight="1" x14ac:dyDescent="0.2">
      <c r="A194" s="5"/>
      <c r="B194" s="6"/>
      <c r="C194" s="7" t="s">
        <v>10</v>
      </c>
      <c r="D194" s="6"/>
      <c r="E194" s="8"/>
    </row>
    <row r="195" spans="1:5" ht="12.75" customHeight="1" x14ac:dyDescent="0.2">
      <c r="A195" s="5"/>
      <c r="B195" s="6"/>
      <c r="C195" s="7" t="s">
        <v>10</v>
      </c>
      <c r="D195" s="6"/>
      <c r="E195" s="8"/>
    </row>
    <row r="196" spans="1:5" ht="12.75" customHeight="1" x14ac:dyDescent="0.2">
      <c r="A196" s="5"/>
      <c r="B196" s="6"/>
      <c r="C196" s="7" t="s">
        <v>10</v>
      </c>
      <c r="D196" s="6"/>
      <c r="E196" s="8"/>
    </row>
    <row r="197" spans="1:5" ht="12.75" customHeight="1" x14ac:dyDescent="0.2">
      <c r="A197" s="5"/>
      <c r="B197" s="6"/>
      <c r="C197" s="7" t="s">
        <v>10</v>
      </c>
      <c r="D197" s="6"/>
      <c r="E197" s="8"/>
    </row>
    <row r="198" spans="1:5" ht="12.75" customHeight="1" x14ac:dyDescent="0.2">
      <c r="A198" s="5"/>
      <c r="B198" s="6"/>
      <c r="C198" s="7" t="s">
        <v>10</v>
      </c>
      <c r="D198" s="6"/>
      <c r="E198" s="8"/>
    </row>
    <row r="199" spans="1:5" ht="12.75" customHeight="1" x14ac:dyDescent="0.2">
      <c r="A199" s="5"/>
      <c r="B199" s="6"/>
      <c r="C199" s="7" t="s">
        <v>10</v>
      </c>
      <c r="D199" s="6"/>
      <c r="E199" s="8"/>
    </row>
    <row r="200" spans="1:5" ht="12.75" customHeight="1" x14ac:dyDescent="0.2">
      <c r="A200" s="5"/>
      <c r="B200" s="6"/>
      <c r="C200" s="7" t="s">
        <v>10</v>
      </c>
      <c r="D200" s="6"/>
      <c r="E200" s="8"/>
    </row>
    <row r="201" spans="1:5" ht="12.75" customHeight="1" x14ac:dyDescent="0.2">
      <c r="A201" s="5"/>
      <c r="B201" s="6"/>
      <c r="C201" s="7" t="s">
        <v>10</v>
      </c>
      <c r="D201" s="6"/>
      <c r="E201" s="8"/>
    </row>
    <row r="202" spans="1:5" ht="12.75" customHeight="1" x14ac:dyDescent="0.2">
      <c r="A202" s="5"/>
      <c r="B202" s="6"/>
      <c r="C202" s="7" t="s">
        <v>10</v>
      </c>
      <c r="D202" s="6"/>
      <c r="E202" s="8"/>
    </row>
    <row r="203" spans="1:5" ht="12.75" customHeight="1" x14ac:dyDescent="0.2">
      <c r="A203" s="5"/>
      <c r="B203" s="6"/>
      <c r="C203" s="7" t="s">
        <v>10</v>
      </c>
      <c r="D203" s="6"/>
      <c r="E203" s="8"/>
    </row>
    <row r="204" spans="1:5" ht="12.75" customHeight="1" x14ac:dyDescent="0.2">
      <c r="A204" s="5"/>
      <c r="B204" s="6"/>
      <c r="C204" s="7" t="s">
        <v>10</v>
      </c>
      <c r="D204" s="6"/>
      <c r="E204" s="8"/>
    </row>
    <row r="205" spans="1:5" ht="12.75" customHeight="1" x14ac:dyDescent="0.2">
      <c r="A205" s="5"/>
      <c r="B205" s="6"/>
      <c r="C205" s="7" t="s">
        <v>10</v>
      </c>
      <c r="D205" s="6"/>
      <c r="E205" s="8"/>
    </row>
    <row r="206" spans="1:5" ht="12.75" customHeight="1" x14ac:dyDescent="0.2">
      <c r="A206" s="5"/>
      <c r="B206" s="6"/>
      <c r="C206" s="7" t="s">
        <v>10</v>
      </c>
      <c r="D206" s="6"/>
      <c r="E206" s="8"/>
    </row>
    <row r="207" spans="1:5" ht="12.75" customHeight="1" x14ac:dyDescent="0.2">
      <c r="A207" s="5"/>
      <c r="B207" s="6"/>
      <c r="C207" s="7" t="s">
        <v>10</v>
      </c>
      <c r="D207" s="6"/>
      <c r="E207" s="8"/>
    </row>
    <row r="208" spans="1:5" ht="12.75" customHeight="1" x14ac:dyDescent="0.2">
      <c r="A208" s="5"/>
      <c r="B208" s="6"/>
      <c r="C208" s="7" t="s">
        <v>10</v>
      </c>
      <c r="D208" s="6"/>
      <c r="E208" s="8"/>
    </row>
    <row r="209" spans="1:5" ht="12.75" customHeight="1" x14ac:dyDescent="0.2">
      <c r="A209" s="5"/>
      <c r="B209" s="6"/>
      <c r="C209" s="7" t="s">
        <v>10</v>
      </c>
      <c r="D209" s="6"/>
      <c r="E209" s="8"/>
    </row>
    <row r="210" spans="1:5" ht="12.75" customHeight="1" x14ac:dyDescent="0.2">
      <c r="A210" s="5"/>
      <c r="B210" s="6"/>
      <c r="C210" s="7" t="s">
        <v>10</v>
      </c>
      <c r="D210" s="6"/>
      <c r="E210" s="8"/>
    </row>
    <row r="211" spans="1:5" ht="12.75" customHeight="1" x14ac:dyDescent="0.2">
      <c r="A211" s="5"/>
      <c r="B211" s="6"/>
      <c r="C211" s="7" t="s">
        <v>10</v>
      </c>
      <c r="D211" s="6"/>
      <c r="E211" s="8"/>
    </row>
    <row r="212" spans="1:5" ht="12.75" customHeight="1" x14ac:dyDescent="0.2">
      <c r="A212" s="5"/>
      <c r="B212" s="6"/>
      <c r="C212" s="7" t="s">
        <v>10</v>
      </c>
      <c r="D212" s="6"/>
      <c r="E212" s="8"/>
    </row>
    <row r="213" spans="1:5" ht="12.75" customHeight="1" x14ac:dyDescent="0.2">
      <c r="A213" s="5"/>
      <c r="B213" s="6"/>
      <c r="C213" s="7" t="s">
        <v>10</v>
      </c>
      <c r="D213" s="6"/>
      <c r="E213" s="8"/>
    </row>
    <row r="214" spans="1:5" ht="12.75" customHeight="1" x14ac:dyDescent="0.2">
      <c r="A214" s="5"/>
      <c r="B214" s="6"/>
      <c r="C214" s="7" t="s">
        <v>10</v>
      </c>
      <c r="D214" s="6"/>
      <c r="E214" s="8"/>
    </row>
    <row r="215" spans="1:5" ht="12.75" customHeight="1" x14ac:dyDescent="0.2">
      <c r="A215" s="5"/>
      <c r="B215" s="6"/>
      <c r="C215" s="7" t="s">
        <v>10</v>
      </c>
      <c r="D215" s="6"/>
      <c r="E215" s="8"/>
    </row>
    <row r="216" spans="1:5" ht="12.75" customHeight="1" x14ac:dyDescent="0.2">
      <c r="A216" s="5"/>
      <c r="B216" s="6"/>
      <c r="C216" s="7" t="s">
        <v>10</v>
      </c>
      <c r="D216" s="6"/>
      <c r="E216" s="8"/>
    </row>
    <row r="217" spans="1:5" ht="12.75" customHeight="1" x14ac:dyDescent="0.2">
      <c r="A217" s="5"/>
      <c r="B217" s="6"/>
      <c r="C217" s="7" t="s">
        <v>10</v>
      </c>
      <c r="D217" s="6"/>
      <c r="E217" s="8"/>
    </row>
    <row r="218" spans="1:5" ht="12.75" customHeight="1" x14ac:dyDescent="0.2">
      <c r="A218" s="5"/>
      <c r="B218" s="6"/>
      <c r="C218" s="7" t="s">
        <v>10</v>
      </c>
      <c r="D218" s="6"/>
      <c r="E218" s="8"/>
    </row>
    <row r="219" spans="1:5" ht="12.75" customHeight="1" x14ac:dyDescent="0.2">
      <c r="A219" s="5"/>
      <c r="B219" s="6"/>
      <c r="C219" s="7" t="s">
        <v>10</v>
      </c>
      <c r="D219" s="6"/>
      <c r="E219" s="8"/>
    </row>
    <row r="220" spans="1:5" ht="12.75" customHeight="1" x14ac:dyDescent="0.2">
      <c r="A220" s="5"/>
      <c r="B220" s="6"/>
      <c r="C220" s="7" t="s">
        <v>10</v>
      </c>
      <c r="D220" s="6"/>
      <c r="E220" s="8"/>
    </row>
    <row r="221" spans="1:5" ht="12.75" customHeight="1" x14ac:dyDescent="0.2">
      <c r="A221" s="5"/>
      <c r="B221" s="6"/>
      <c r="C221" s="7" t="s">
        <v>10</v>
      </c>
      <c r="D221" s="6"/>
      <c r="E221" s="8"/>
    </row>
    <row r="222" spans="1:5" ht="12.75" customHeight="1" x14ac:dyDescent="0.2">
      <c r="A222" s="5"/>
      <c r="B222" s="6"/>
      <c r="C222" s="7" t="s">
        <v>10</v>
      </c>
      <c r="D222" s="6"/>
      <c r="E222" s="8"/>
    </row>
    <row r="223" spans="1:5" ht="12.75" customHeight="1" x14ac:dyDescent="0.2">
      <c r="A223" s="5"/>
      <c r="B223" s="6"/>
      <c r="C223" s="7" t="s">
        <v>10</v>
      </c>
      <c r="D223" s="6"/>
      <c r="E223" s="8"/>
    </row>
    <row r="224" spans="1:5" ht="12.75" customHeight="1" x14ac:dyDescent="0.2">
      <c r="A224" s="5"/>
      <c r="B224" s="6"/>
      <c r="C224" s="7" t="s">
        <v>10</v>
      </c>
      <c r="D224" s="6"/>
      <c r="E224" s="8"/>
    </row>
    <row r="225" spans="1:5" ht="12.75" customHeight="1" x14ac:dyDescent="0.2">
      <c r="A225" s="5"/>
      <c r="B225" s="6"/>
      <c r="C225" s="7" t="s">
        <v>10</v>
      </c>
      <c r="D225" s="6"/>
      <c r="E225" s="8"/>
    </row>
    <row r="226" spans="1:5" ht="12.75" customHeight="1" x14ac:dyDescent="0.2">
      <c r="A226" s="5"/>
      <c r="B226" s="6"/>
      <c r="C226" s="7" t="s">
        <v>10</v>
      </c>
      <c r="D226" s="6"/>
      <c r="E226" s="8"/>
    </row>
    <row r="227" spans="1:5" ht="12.75" customHeight="1" x14ac:dyDescent="0.2">
      <c r="A227" s="5"/>
      <c r="B227" s="6"/>
      <c r="C227" s="7" t="s">
        <v>10</v>
      </c>
      <c r="D227" s="6"/>
      <c r="E227" s="8"/>
    </row>
    <row r="228" spans="1:5" ht="12.75" customHeight="1" x14ac:dyDescent="0.2">
      <c r="A228" s="5"/>
      <c r="B228" s="6"/>
      <c r="C228" s="7" t="s">
        <v>10</v>
      </c>
      <c r="D228" s="6"/>
      <c r="E228" s="8"/>
    </row>
    <row r="229" spans="1:5" ht="12.75" customHeight="1" x14ac:dyDescent="0.2">
      <c r="A229" s="5"/>
      <c r="B229" s="6"/>
      <c r="C229" s="7" t="s">
        <v>10</v>
      </c>
      <c r="D229" s="6"/>
      <c r="E229" s="8"/>
    </row>
    <row r="230" spans="1:5" ht="12.75" customHeight="1" x14ac:dyDescent="0.2">
      <c r="A230" s="5"/>
      <c r="B230" s="6"/>
      <c r="C230" s="7" t="s">
        <v>10</v>
      </c>
      <c r="D230" s="6"/>
      <c r="E230" s="8"/>
    </row>
    <row r="231" spans="1:5" ht="12.75" customHeight="1" x14ac:dyDescent="0.2">
      <c r="A231" s="5"/>
      <c r="B231" s="6"/>
      <c r="C231" s="7" t="s">
        <v>10</v>
      </c>
      <c r="D231" s="6"/>
      <c r="E231" s="8"/>
    </row>
    <row r="232" spans="1:5" ht="12.75" customHeight="1" x14ac:dyDescent="0.2">
      <c r="A232" s="5"/>
      <c r="B232" s="6"/>
      <c r="C232" s="7" t="s">
        <v>10</v>
      </c>
      <c r="D232" s="6"/>
      <c r="E232" s="8"/>
    </row>
    <row r="233" spans="1:5" ht="12.75" customHeight="1" x14ac:dyDescent="0.2">
      <c r="A233" s="5"/>
      <c r="B233" s="6"/>
      <c r="C233" s="7" t="s">
        <v>10</v>
      </c>
      <c r="D233" s="6"/>
      <c r="E233" s="8"/>
    </row>
    <row r="234" spans="1:5" ht="12.75" customHeight="1" x14ac:dyDescent="0.2">
      <c r="A234" s="5"/>
      <c r="B234" s="6"/>
      <c r="C234" s="7" t="s">
        <v>10</v>
      </c>
      <c r="D234" s="6"/>
      <c r="E234" s="8"/>
    </row>
    <row r="235" spans="1:5" ht="12.75" customHeight="1" x14ac:dyDescent="0.2">
      <c r="A235" s="5"/>
      <c r="B235" s="6"/>
      <c r="C235" s="7" t="s">
        <v>10</v>
      </c>
      <c r="D235" s="6"/>
      <c r="E235" s="8"/>
    </row>
    <row r="236" spans="1:5" ht="12.75" customHeight="1" x14ac:dyDescent="0.2">
      <c r="A236" s="5"/>
      <c r="B236" s="6"/>
      <c r="C236" s="7" t="s">
        <v>10</v>
      </c>
      <c r="D236" s="6"/>
      <c r="E236" s="8"/>
    </row>
    <row r="237" spans="1:5" ht="12.75" customHeight="1" x14ac:dyDescent="0.2">
      <c r="A237" s="5"/>
      <c r="B237" s="6"/>
      <c r="C237" s="7" t="s">
        <v>10</v>
      </c>
      <c r="D237" s="6"/>
      <c r="E237" s="8"/>
    </row>
    <row r="238" spans="1:5" ht="12.75" customHeight="1" x14ac:dyDescent="0.2">
      <c r="A238" s="5"/>
      <c r="B238" s="6"/>
      <c r="C238" s="7" t="s">
        <v>10</v>
      </c>
      <c r="D238" s="6"/>
      <c r="E238" s="8"/>
    </row>
    <row r="239" spans="1:5" ht="12.75" customHeight="1" x14ac:dyDescent="0.2">
      <c r="A239" s="5"/>
      <c r="B239" s="6"/>
      <c r="C239" s="7" t="s">
        <v>10</v>
      </c>
      <c r="D239" s="6"/>
      <c r="E239" s="8"/>
    </row>
    <row r="240" spans="1:5" ht="12.75" customHeight="1" x14ac:dyDescent="0.2">
      <c r="A240" s="5"/>
      <c r="B240" s="6"/>
      <c r="C240" s="7" t="s">
        <v>10</v>
      </c>
      <c r="D240" s="6"/>
      <c r="E240" s="8"/>
    </row>
    <row r="241" spans="1:5" ht="12.75" customHeight="1" x14ac:dyDescent="0.2">
      <c r="A241" s="5"/>
      <c r="B241" s="6"/>
      <c r="C241" s="7" t="s">
        <v>10</v>
      </c>
      <c r="D241" s="6"/>
      <c r="E241" s="8"/>
    </row>
    <row r="242" spans="1:5" ht="12.75" customHeight="1" x14ac:dyDescent="0.2">
      <c r="A242" s="5"/>
      <c r="B242" s="6"/>
      <c r="C242" s="7" t="s">
        <v>10</v>
      </c>
      <c r="D242" s="6"/>
      <c r="E242" s="8"/>
    </row>
    <row r="243" spans="1:5" ht="12.75" customHeight="1" x14ac:dyDescent="0.2">
      <c r="A243" s="5"/>
      <c r="B243" s="6"/>
      <c r="C243" s="7" t="s">
        <v>10</v>
      </c>
      <c r="D243" s="6"/>
      <c r="E243" s="8"/>
    </row>
    <row r="244" spans="1:5" ht="12.75" customHeight="1" x14ac:dyDescent="0.2">
      <c r="A244" s="5"/>
      <c r="B244" s="6"/>
      <c r="C244" s="7" t="s">
        <v>10</v>
      </c>
      <c r="D244" s="6"/>
      <c r="E244" s="8"/>
    </row>
    <row r="245" spans="1:5" ht="12.75" customHeight="1" x14ac:dyDescent="0.2">
      <c r="A245" s="5"/>
      <c r="B245" s="6"/>
      <c r="C245" s="7" t="s">
        <v>10</v>
      </c>
      <c r="D245" s="6"/>
      <c r="E245" s="8"/>
    </row>
    <row r="246" spans="1:5" ht="12.75" customHeight="1" x14ac:dyDescent="0.2">
      <c r="A246" s="5"/>
      <c r="B246" s="6"/>
      <c r="C246" s="7" t="s">
        <v>10</v>
      </c>
      <c r="D246" s="6"/>
      <c r="E246" s="8"/>
    </row>
    <row r="247" spans="1:5" ht="12.75" customHeight="1" x14ac:dyDescent="0.2">
      <c r="A247" s="5"/>
      <c r="B247" s="6"/>
      <c r="C247" s="7" t="s">
        <v>10</v>
      </c>
      <c r="D247" s="6"/>
      <c r="E247" s="8"/>
    </row>
    <row r="248" spans="1:5" ht="12.75" customHeight="1" x14ac:dyDescent="0.2">
      <c r="A248" s="5"/>
      <c r="B248" s="6"/>
      <c r="C248" s="7" t="s">
        <v>10</v>
      </c>
      <c r="D248" s="6"/>
      <c r="E248" s="8"/>
    </row>
    <row r="249" spans="1:5" ht="12.75" customHeight="1" x14ac:dyDescent="0.2">
      <c r="A249" s="5"/>
      <c r="B249" s="6"/>
      <c r="C249" s="7" t="s">
        <v>10</v>
      </c>
      <c r="D249" s="6"/>
      <c r="E249" s="8"/>
    </row>
    <row r="250" spans="1:5" ht="12.75" customHeight="1" x14ac:dyDescent="0.2">
      <c r="A250" s="5"/>
      <c r="B250" s="6"/>
      <c r="C250" s="7" t="s">
        <v>10</v>
      </c>
      <c r="D250" s="6"/>
      <c r="E250" s="8"/>
    </row>
    <row r="251" spans="1:5" ht="12.75" customHeight="1" x14ac:dyDescent="0.2">
      <c r="A251" s="5"/>
      <c r="B251" s="6"/>
      <c r="C251" s="7" t="s">
        <v>10</v>
      </c>
      <c r="D251" s="6"/>
      <c r="E251" s="8"/>
    </row>
    <row r="252" spans="1:5" ht="12.75" customHeight="1" x14ac:dyDescent="0.2">
      <c r="A252" s="5"/>
      <c r="B252" s="6"/>
      <c r="C252" s="7" t="s">
        <v>10</v>
      </c>
      <c r="D252" s="6"/>
      <c r="E252" s="8"/>
    </row>
    <row r="253" spans="1:5" ht="12.75" customHeight="1" x14ac:dyDescent="0.2">
      <c r="A253" s="5"/>
      <c r="B253" s="6"/>
      <c r="C253" s="7" t="s">
        <v>10</v>
      </c>
      <c r="D253" s="6"/>
      <c r="E253" s="8"/>
    </row>
    <row r="254" spans="1:5" ht="12.75" customHeight="1" x14ac:dyDescent="0.2">
      <c r="A254" s="5"/>
      <c r="B254" s="6"/>
      <c r="C254" s="7" t="s">
        <v>10</v>
      </c>
      <c r="D254" s="6"/>
      <c r="E254" s="8"/>
    </row>
    <row r="255" spans="1:5" ht="12.75" customHeight="1" x14ac:dyDescent="0.2">
      <c r="A255" s="5"/>
      <c r="B255" s="6"/>
      <c r="C255" s="7" t="s">
        <v>10</v>
      </c>
      <c r="D255" s="6"/>
      <c r="E255" s="8"/>
    </row>
    <row r="256" spans="1:5" ht="12.75" customHeight="1" x14ac:dyDescent="0.2">
      <c r="A256" s="5"/>
      <c r="B256" s="6"/>
      <c r="C256" s="7" t="s">
        <v>10</v>
      </c>
      <c r="D256" s="6"/>
      <c r="E256" s="8"/>
    </row>
    <row r="257" spans="1:5" ht="12.75" customHeight="1" x14ac:dyDescent="0.2">
      <c r="A257" s="5"/>
      <c r="B257" s="6"/>
      <c r="C257" s="7" t="s">
        <v>10</v>
      </c>
      <c r="D257" s="6"/>
      <c r="E257" s="8"/>
    </row>
    <row r="258" spans="1:5" ht="12.75" customHeight="1" x14ac:dyDescent="0.2">
      <c r="A258" s="5"/>
      <c r="B258" s="6"/>
      <c r="C258" s="7" t="s">
        <v>10</v>
      </c>
      <c r="D258" s="6"/>
      <c r="E258" s="8"/>
    </row>
    <row r="259" spans="1:5" ht="12.75" customHeight="1" x14ac:dyDescent="0.2">
      <c r="A259" s="5"/>
      <c r="B259" s="6"/>
      <c r="C259" s="7" t="s">
        <v>10</v>
      </c>
      <c r="D259" s="6"/>
      <c r="E259" s="8"/>
    </row>
    <row r="260" spans="1:5" ht="12.75" customHeight="1" x14ac:dyDescent="0.2">
      <c r="A260" s="5"/>
      <c r="B260" s="6"/>
      <c r="C260" s="7" t="s">
        <v>10</v>
      </c>
      <c r="D260" s="6"/>
      <c r="E260" s="8"/>
    </row>
    <row r="261" spans="1:5" ht="12.75" customHeight="1" x14ac:dyDescent="0.2">
      <c r="A261" s="5"/>
      <c r="B261" s="6"/>
      <c r="C261" s="7" t="s">
        <v>10</v>
      </c>
      <c r="D261" s="6"/>
      <c r="E261" s="8"/>
    </row>
    <row r="262" spans="1:5" ht="12.75" customHeight="1" x14ac:dyDescent="0.2">
      <c r="A262" s="5"/>
      <c r="B262" s="6"/>
      <c r="C262" s="7" t="s">
        <v>10</v>
      </c>
      <c r="D262" s="6"/>
      <c r="E262" s="8"/>
    </row>
    <row r="263" spans="1:5" ht="12.75" customHeight="1" x14ac:dyDescent="0.2">
      <c r="A263" s="5"/>
      <c r="B263" s="6"/>
      <c r="C263" s="7" t="s">
        <v>10</v>
      </c>
      <c r="D263" s="6"/>
      <c r="E263" s="8"/>
    </row>
    <row r="264" spans="1:5" ht="12.75" customHeight="1" x14ac:dyDescent="0.2">
      <c r="A264" s="5"/>
      <c r="B264" s="6"/>
      <c r="C264" s="7" t="s">
        <v>10</v>
      </c>
      <c r="D264" s="6"/>
      <c r="E264" s="8"/>
    </row>
    <row r="265" spans="1:5" ht="12.75" customHeight="1" x14ac:dyDescent="0.2">
      <c r="A265" s="5"/>
      <c r="B265" s="6"/>
      <c r="C265" s="7" t="s">
        <v>10</v>
      </c>
      <c r="D265" s="6"/>
      <c r="E265" s="8"/>
    </row>
    <row r="266" spans="1:5" ht="12.75" customHeight="1" x14ac:dyDescent="0.2">
      <c r="A266" s="5"/>
      <c r="B266" s="6"/>
      <c r="C266" s="7" t="s">
        <v>10</v>
      </c>
      <c r="D266" s="6"/>
      <c r="E266" s="8"/>
    </row>
    <row r="267" spans="1:5" ht="12.75" customHeight="1" x14ac:dyDescent="0.2">
      <c r="A267" s="5"/>
      <c r="B267" s="6"/>
      <c r="C267" s="7" t="s">
        <v>10</v>
      </c>
      <c r="D267" s="6"/>
      <c r="E267" s="8"/>
    </row>
    <row r="268" spans="1:5" ht="12.75" customHeight="1" x14ac:dyDescent="0.2">
      <c r="A268" s="5"/>
      <c r="B268" s="6"/>
      <c r="C268" s="7" t="s">
        <v>10</v>
      </c>
      <c r="D268" s="6"/>
      <c r="E268" s="8"/>
    </row>
    <row r="269" spans="1:5" ht="12.75" customHeight="1" x14ac:dyDescent="0.2">
      <c r="A269" s="5"/>
      <c r="B269" s="6"/>
      <c r="C269" s="7" t="s">
        <v>10</v>
      </c>
      <c r="D269" s="6"/>
      <c r="E269" s="8"/>
    </row>
    <row r="270" spans="1:5" ht="12.75" customHeight="1" x14ac:dyDescent="0.2">
      <c r="A270" s="5"/>
      <c r="B270" s="6"/>
      <c r="C270" s="7"/>
      <c r="D270" s="6"/>
      <c r="E270" s="8"/>
    </row>
    <row r="271" spans="1:5" ht="12.75" customHeight="1" x14ac:dyDescent="0.2">
      <c r="A271" s="5"/>
      <c r="B271" s="6"/>
      <c r="C271" s="7" t="s">
        <v>10</v>
      </c>
      <c r="D271" s="6"/>
      <c r="E271" s="8"/>
    </row>
    <row r="272" spans="1:5" ht="12.75" customHeight="1" x14ac:dyDescent="0.2">
      <c r="A272" s="5"/>
      <c r="B272" s="6"/>
      <c r="C272" s="7" t="s">
        <v>10</v>
      </c>
      <c r="D272" s="6"/>
      <c r="E272" s="8"/>
    </row>
    <row r="273" spans="1:5" ht="12.75" customHeight="1" x14ac:dyDescent="0.2">
      <c r="A273" s="5"/>
      <c r="B273" s="6"/>
      <c r="C273" s="7" t="s">
        <v>10</v>
      </c>
      <c r="D273" s="6"/>
      <c r="E273" s="8"/>
    </row>
    <row r="274" spans="1:5" ht="12.75" customHeight="1" x14ac:dyDescent="0.2">
      <c r="A274" s="5"/>
      <c r="B274" s="6"/>
      <c r="C274" s="7" t="s">
        <v>10</v>
      </c>
      <c r="D274" s="6"/>
      <c r="E274" s="8"/>
    </row>
    <row r="275" spans="1:5" ht="12.75" customHeight="1" x14ac:dyDescent="0.2">
      <c r="A275" s="5"/>
      <c r="B275" s="6"/>
      <c r="C275" s="7" t="s">
        <v>10</v>
      </c>
      <c r="D275" s="6"/>
      <c r="E275" s="8"/>
    </row>
    <row r="276" spans="1:5" ht="12.75" customHeight="1" x14ac:dyDescent="0.2">
      <c r="A276" s="5"/>
      <c r="B276" s="6"/>
      <c r="C276" s="7" t="s">
        <v>10</v>
      </c>
      <c r="D276" s="6"/>
      <c r="E276" s="8"/>
    </row>
    <row r="277" spans="1:5" ht="12.75" customHeight="1" x14ac:dyDescent="0.2">
      <c r="A277" s="5"/>
      <c r="B277" s="6"/>
      <c r="C277" s="7" t="s">
        <v>10</v>
      </c>
      <c r="D277" s="6"/>
      <c r="E277" s="8"/>
    </row>
    <row r="278" spans="1:5" ht="12.75" customHeight="1" x14ac:dyDescent="0.2">
      <c r="A278" s="5"/>
      <c r="B278" s="6"/>
      <c r="C278" s="7" t="s">
        <v>10</v>
      </c>
      <c r="D278" s="6"/>
      <c r="E278" s="8"/>
    </row>
    <row r="279" spans="1:5" ht="12.75" customHeight="1" x14ac:dyDescent="0.2">
      <c r="A279" s="5"/>
      <c r="B279" s="6"/>
      <c r="C279" s="7" t="s">
        <v>10</v>
      </c>
      <c r="D279" s="6"/>
      <c r="E279" s="8"/>
    </row>
    <row r="280" spans="1:5" ht="12.75" customHeight="1" x14ac:dyDescent="0.2">
      <c r="A280" s="5"/>
      <c r="B280" s="6"/>
      <c r="C280" s="7" t="s">
        <v>10</v>
      </c>
      <c r="D280" s="6"/>
      <c r="E280" s="8"/>
    </row>
    <row r="281" spans="1:5" ht="12.75" customHeight="1" x14ac:dyDescent="0.2">
      <c r="A281" s="5"/>
      <c r="B281" s="6"/>
      <c r="C281" s="7" t="s">
        <v>10</v>
      </c>
      <c r="D281" s="6"/>
      <c r="E281" s="8"/>
    </row>
    <row r="282" spans="1:5" ht="12.75" customHeight="1" x14ac:dyDescent="0.2">
      <c r="A282" s="5"/>
      <c r="B282" s="6"/>
      <c r="C282" s="7" t="s">
        <v>10</v>
      </c>
      <c r="D282" s="6"/>
      <c r="E282" s="8"/>
    </row>
    <row r="283" spans="1:5" ht="12.75" customHeight="1" x14ac:dyDescent="0.2">
      <c r="A283" s="5"/>
      <c r="B283" s="6"/>
      <c r="C283" s="7" t="s">
        <v>10</v>
      </c>
      <c r="D283" s="6"/>
      <c r="E283" s="8"/>
    </row>
    <row r="284" spans="1:5" ht="12.75" customHeight="1" x14ac:dyDescent="0.2">
      <c r="A284" s="5"/>
      <c r="B284" s="6"/>
      <c r="C284" s="7" t="s">
        <v>10</v>
      </c>
      <c r="D284" s="6"/>
      <c r="E284" s="8"/>
    </row>
    <row r="285" spans="1:5" ht="12.75" customHeight="1" x14ac:dyDescent="0.2">
      <c r="A285" s="5"/>
      <c r="B285" s="6"/>
      <c r="C285" s="7" t="s">
        <v>10</v>
      </c>
      <c r="D285" s="6"/>
      <c r="E285" s="8"/>
    </row>
    <row r="286" spans="1:5" ht="12.75" customHeight="1" x14ac:dyDescent="0.2">
      <c r="A286" s="5"/>
      <c r="B286" s="6"/>
      <c r="C286" s="7" t="s">
        <v>10</v>
      </c>
      <c r="D286" s="6"/>
      <c r="E286" s="8"/>
    </row>
    <row r="287" spans="1:5" ht="12.75" customHeight="1" x14ac:dyDescent="0.2">
      <c r="A287" s="5"/>
      <c r="B287" s="6"/>
      <c r="C287" s="7" t="s">
        <v>10</v>
      </c>
      <c r="D287" s="6"/>
      <c r="E287" s="8"/>
    </row>
    <row r="288" spans="1:5" ht="12.75" customHeight="1" x14ac:dyDescent="0.2">
      <c r="A288" s="5"/>
      <c r="B288" s="6"/>
      <c r="C288" s="7" t="s">
        <v>10</v>
      </c>
      <c r="D288" s="6"/>
      <c r="E288" s="8"/>
    </row>
    <row r="289" spans="1:5" ht="12.75" customHeight="1" x14ac:dyDescent="0.2">
      <c r="A289" s="5"/>
      <c r="B289" s="6"/>
      <c r="C289" s="7" t="s">
        <v>10</v>
      </c>
      <c r="D289" s="6"/>
      <c r="E289" s="8"/>
    </row>
    <row r="290" spans="1:5" ht="12.75" customHeight="1" x14ac:dyDescent="0.2">
      <c r="A290" s="5"/>
      <c r="B290" s="6"/>
      <c r="C290" s="7" t="s">
        <v>10</v>
      </c>
      <c r="D290" s="6"/>
      <c r="E290" s="8"/>
    </row>
    <row r="291" spans="1:5" ht="12.75" customHeight="1" x14ac:dyDescent="0.2">
      <c r="A291" s="5"/>
      <c r="B291" s="6"/>
      <c r="C291" s="7" t="s">
        <v>10</v>
      </c>
      <c r="D291" s="6"/>
      <c r="E291" s="8"/>
    </row>
    <row r="292" spans="1:5" ht="12.75" customHeight="1" x14ac:dyDescent="0.2">
      <c r="A292" s="5"/>
      <c r="B292" s="6"/>
      <c r="C292" s="7" t="s">
        <v>10</v>
      </c>
      <c r="D292" s="6"/>
      <c r="E292" s="8"/>
    </row>
    <row r="293" spans="1:5" ht="12.75" customHeight="1" x14ac:dyDescent="0.2">
      <c r="A293" s="5"/>
      <c r="B293" s="6"/>
      <c r="C293" s="7" t="s">
        <v>10</v>
      </c>
      <c r="D293" s="6"/>
      <c r="E293" s="8"/>
    </row>
    <row r="294" spans="1:5" ht="12.75" customHeight="1" x14ac:dyDescent="0.2">
      <c r="A294" s="5"/>
      <c r="B294" s="6"/>
      <c r="C294" s="7" t="s">
        <v>10</v>
      </c>
      <c r="D294" s="6"/>
      <c r="E294" s="8"/>
    </row>
    <row r="295" spans="1:5" ht="12.75" customHeight="1" x14ac:dyDescent="0.2">
      <c r="A295" s="5"/>
      <c r="B295" s="6"/>
      <c r="C295" s="7" t="s">
        <v>10</v>
      </c>
      <c r="D295" s="6"/>
      <c r="E295" s="8"/>
    </row>
    <row r="296" spans="1:5" ht="12.75" customHeight="1" x14ac:dyDescent="0.2">
      <c r="A296" s="5"/>
      <c r="B296" s="6"/>
      <c r="C296" s="7" t="s">
        <v>10</v>
      </c>
      <c r="D296" s="6"/>
      <c r="E296" s="8"/>
    </row>
    <row r="297" spans="1:5" ht="12.75" customHeight="1" x14ac:dyDescent="0.2">
      <c r="A297" s="5"/>
      <c r="B297" s="6"/>
      <c r="C297" s="7" t="s">
        <v>10</v>
      </c>
      <c r="D297" s="6"/>
      <c r="E297" s="8"/>
    </row>
    <row r="298" spans="1:5" ht="12.75" customHeight="1" x14ac:dyDescent="0.2">
      <c r="A298" s="5"/>
      <c r="B298" s="6"/>
      <c r="C298" s="7" t="s">
        <v>10</v>
      </c>
      <c r="D298" s="6"/>
      <c r="E298" s="8"/>
    </row>
    <row r="299" spans="1:5" ht="12.75" customHeight="1" x14ac:dyDescent="0.2">
      <c r="A299" s="5"/>
      <c r="B299" s="6"/>
      <c r="C299" s="7" t="s">
        <v>10</v>
      </c>
      <c r="D299" s="6"/>
      <c r="E299" s="8"/>
    </row>
    <row r="300" spans="1:5" ht="12.75" customHeight="1" x14ac:dyDescent="0.2">
      <c r="A300" s="5"/>
      <c r="B300" s="6"/>
      <c r="C300" s="7" t="s">
        <v>10</v>
      </c>
      <c r="D300" s="6"/>
      <c r="E300" s="8"/>
    </row>
    <row r="301" spans="1:5" ht="12.75" customHeight="1" x14ac:dyDescent="0.2">
      <c r="A301" s="5"/>
      <c r="B301" s="6"/>
      <c r="C301" s="7" t="s">
        <v>10</v>
      </c>
      <c r="D301" s="6"/>
      <c r="E301" s="8"/>
    </row>
    <row r="302" spans="1:5" ht="12.75" customHeight="1" x14ac:dyDescent="0.2">
      <c r="A302" s="5"/>
      <c r="B302" s="6"/>
      <c r="C302" s="7" t="s">
        <v>10</v>
      </c>
      <c r="D302" s="6"/>
      <c r="E302" s="8"/>
    </row>
    <row r="303" spans="1:5" ht="12.75" customHeight="1" x14ac:dyDescent="0.2">
      <c r="A303" s="5"/>
      <c r="B303" s="6"/>
      <c r="C303" s="7" t="s">
        <v>10</v>
      </c>
      <c r="D303" s="6"/>
      <c r="E303" s="8"/>
    </row>
    <row r="304" spans="1:5" ht="12.75" customHeight="1" x14ac:dyDescent="0.2">
      <c r="A304" s="5"/>
      <c r="B304" s="6"/>
      <c r="C304" s="7" t="s">
        <v>10</v>
      </c>
      <c r="D304" s="6"/>
      <c r="E304" s="8"/>
    </row>
    <row r="305" spans="1:5" ht="12.75" customHeight="1" x14ac:dyDescent="0.2">
      <c r="A305" s="5"/>
      <c r="B305" s="6"/>
      <c r="C305" s="7" t="s">
        <v>10</v>
      </c>
      <c r="D305" s="6"/>
      <c r="E305" s="8"/>
    </row>
    <row r="306" spans="1:5" ht="12.75" customHeight="1" x14ac:dyDescent="0.2">
      <c r="A306" s="5"/>
      <c r="B306" s="6"/>
      <c r="C306" s="7" t="s">
        <v>10</v>
      </c>
      <c r="D306" s="6"/>
      <c r="E306" s="8"/>
    </row>
    <row r="307" spans="1:5" ht="12.75" customHeight="1" x14ac:dyDescent="0.2">
      <c r="A307" s="5"/>
      <c r="B307" s="6"/>
      <c r="C307" s="7" t="s">
        <v>10</v>
      </c>
      <c r="D307" s="6"/>
      <c r="E307" s="8"/>
    </row>
    <row r="308" spans="1:5" ht="12.75" customHeight="1" x14ac:dyDescent="0.2">
      <c r="A308" s="5"/>
      <c r="B308" s="6"/>
      <c r="C308" s="7" t="s">
        <v>10</v>
      </c>
      <c r="D308" s="6"/>
      <c r="E308" s="8"/>
    </row>
    <row r="309" spans="1:5" ht="12.75" customHeight="1" x14ac:dyDescent="0.2">
      <c r="A309" s="5"/>
      <c r="B309" s="6"/>
      <c r="C309" s="7" t="s">
        <v>10</v>
      </c>
      <c r="D309" s="6"/>
      <c r="E309" s="8"/>
    </row>
    <row r="310" spans="1:5" ht="12.75" customHeight="1" x14ac:dyDescent="0.2">
      <c r="A310" s="5"/>
      <c r="B310" s="6"/>
      <c r="C310" s="7" t="s">
        <v>10</v>
      </c>
      <c r="D310" s="6"/>
      <c r="E310" s="8"/>
    </row>
    <row r="311" spans="1:5" ht="12.75" customHeight="1" x14ac:dyDescent="0.2">
      <c r="A311" s="5"/>
      <c r="B311" s="6"/>
      <c r="C311" s="7" t="s">
        <v>10</v>
      </c>
      <c r="D311" s="6"/>
      <c r="E311" s="8"/>
    </row>
    <row r="312" spans="1:5" ht="12.75" customHeight="1" x14ac:dyDescent="0.2">
      <c r="A312" s="5"/>
      <c r="B312" s="6"/>
      <c r="C312" s="7" t="s">
        <v>10</v>
      </c>
      <c r="D312" s="6"/>
      <c r="E312" s="8"/>
    </row>
    <row r="313" spans="1:5" ht="12.75" customHeight="1" x14ac:dyDescent="0.2">
      <c r="A313" s="5"/>
      <c r="B313" s="6"/>
      <c r="C313" s="7" t="s">
        <v>10</v>
      </c>
      <c r="D313" s="6"/>
      <c r="E313" s="8"/>
    </row>
    <row r="314" spans="1:5" ht="12.75" customHeight="1" x14ac:dyDescent="0.2">
      <c r="A314" s="5"/>
      <c r="B314" s="6"/>
      <c r="C314" s="7" t="s">
        <v>10</v>
      </c>
      <c r="D314" s="6"/>
      <c r="E314" s="8"/>
    </row>
    <row r="315" spans="1:5" ht="12.75" customHeight="1" x14ac:dyDescent="0.2">
      <c r="A315" s="5"/>
      <c r="B315" s="6"/>
      <c r="C315" s="7" t="s">
        <v>10</v>
      </c>
      <c r="D315" s="6"/>
      <c r="E315" s="8"/>
    </row>
    <row r="316" spans="1:5" ht="12.75" customHeight="1" x14ac:dyDescent="0.2">
      <c r="A316" s="5"/>
      <c r="B316" s="6"/>
      <c r="C316" s="7" t="s">
        <v>10</v>
      </c>
      <c r="D316" s="6"/>
      <c r="E316" s="8"/>
    </row>
    <row r="317" spans="1:5" ht="12.75" customHeight="1" x14ac:dyDescent="0.2">
      <c r="A317" s="5"/>
      <c r="B317" s="6"/>
      <c r="C317" s="7" t="s">
        <v>10</v>
      </c>
      <c r="D317" s="6"/>
      <c r="E317" s="8"/>
    </row>
    <row r="318" spans="1:5" ht="12.75" customHeight="1" x14ac:dyDescent="0.2">
      <c r="A318" s="5"/>
      <c r="B318" s="6"/>
      <c r="C318" s="7" t="s">
        <v>10</v>
      </c>
      <c r="D318" s="6"/>
      <c r="E318" s="8"/>
    </row>
    <row r="319" spans="1:5" ht="12.75" customHeight="1" x14ac:dyDescent="0.2">
      <c r="A319" s="5"/>
      <c r="B319" s="6"/>
      <c r="C319" s="7" t="s">
        <v>10</v>
      </c>
      <c r="D319" s="6"/>
      <c r="E319" s="8"/>
    </row>
    <row r="320" spans="1:5" ht="12.75" customHeight="1" x14ac:dyDescent="0.2">
      <c r="A320" s="5"/>
      <c r="B320" s="6"/>
      <c r="C320" s="7" t="s">
        <v>10</v>
      </c>
      <c r="D320" s="6"/>
      <c r="E320" s="8"/>
    </row>
    <row r="321" spans="1:5" ht="12.75" customHeight="1" x14ac:dyDescent="0.2">
      <c r="A321" s="5"/>
      <c r="B321" s="6"/>
      <c r="C321" s="7" t="s">
        <v>10</v>
      </c>
      <c r="D321" s="6"/>
      <c r="E321" s="8"/>
    </row>
    <row r="322" spans="1:5" ht="12.75" customHeight="1" x14ac:dyDescent="0.2">
      <c r="A322" s="5"/>
      <c r="B322" s="6"/>
      <c r="C322" s="7" t="s">
        <v>10</v>
      </c>
      <c r="D322" s="6"/>
      <c r="E322" s="8"/>
    </row>
    <row r="323" spans="1:5" ht="12.75" customHeight="1" x14ac:dyDescent="0.2">
      <c r="A323" s="5"/>
      <c r="B323" s="6"/>
      <c r="C323" s="7" t="s">
        <v>10</v>
      </c>
      <c r="D323" s="6"/>
      <c r="E323" s="8"/>
    </row>
    <row r="324" spans="1:5" ht="12.75" customHeight="1" x14ac:dyDescent="0.2">
      <c r="A324" s="5"/>
      <c r="B324" s="6"/>
      <c r="C324" s="7" t="s">
        <v>10</v>
      </c>
      <c r="D324" s="6"/>
      <c r="E324" s="8"/>
    </row>
    <row r="325" spans="1:5" ht="12.75" customHeight="1" x14ac:dyDescent="0.2">
      <c r="A325" s="5"/>
      <c r="B325" s="6"/>
      <c r="C325" s="7" t="s">
        <v>10</v>
      </c>
      <c r="D325" s="6"/>
      <c r="E325" s="8"/>
    </row>
    <row r="326" spans="1:5" ht="12.75" customHeight="1" x14ac:dyDescent="0.2">
      <c r="A326" s="5"/>
      <c r="B326" s="6"/>
      <c r="C326" s="7" t="s">
        <v>10</v>
      </c>
      <c r="D326" s="6"/>
      <c r="E326" s="8"/>
    </row>
    <row r="327" spans="1:5" ht="12.75" customHeight="1" x14ac:dyDescent="0.2">
      <c r="A327" s="5"/>
      <c r="B327" s="6"/>
      <c r="C327" s="7" t="s">
        <v>10</v>
      </c>
      <c r="D327" s="6"/>
      <c r="E327" s="8"/>
    </row>
    <row r="328" spans="1:5" ht="12.75" customHeight="1" x14ac:dyDescent="0.2">
      <c r="A328" s="5"/>
      <c r="B328" s="6"/>
      <c r="C328" s="7" t="s">
        <v>10</v>
      </c>
      <c r="D328" s="6"/>
      <c r="E328" s="8"/>
    </row>
    <row r="329" spans="1:5" ht="12.75" customHeight="1" x14ac:dyDescent="0.2">
      <c r="A329" s="5"/>
      <c r="B329" s="6"/>
      <c r="C329" s="7" t="s">
        <v>10</v>
      </c>
      <c r="D329" s="6"/>
      <c r="E329" s="8"/>
    </row>
    <row r="330" spans="1:5" ht="12.75" customHeight="1" x14ac:dyDescent="0.2">
      <c r="A330" s="5"/>
      <c r="B330" s="6"/>
      <c r="C330" s="7" t="s">
        <v>10</v>
      </c>
      <c r="D330" s="6"/>
      <c r="E330" s="8"/>
    </row>
    <row r="331" spans="1:5" ht="12.75" customHeight="1" x14ac:dyDescent="0.2">
      <c r="A331" s="5"/>
      <c r="B331" s="6"/>
      <c r="C331" s="7" t="s">
        <v>10</v>
      </c>
      <c r="D331" s="6"/>
      <c r="E331" s="8"/>
    </row>
    <row r="332" spans="1:5" ht="12.75" customHeight="1" x14ac:dyDescent="0.2">
      <c r="A332" s="5"/>
      <c r="B332" s="6"/>
      <c r="C332" s="7" t="s">
        <v>10</v>
      </c>
      <c r="D332" s="6"/>
      <c r="E332" s="8"/>
    </row>
    <row r="333" spans="1:5" ht="12.75" customHeight="1" x14ac:dyDescent="0.2">
      <c r="A333" s="5"/>
      <c r="B333" s="6"/>
      <c r="C333" s="7" t="s">
        <v>10</v>
      </c>
      <c r="D333" s="6"/>
      <c r="E333" s="8"/>
    </row>
    <row r="334" spans="1:5" ht="12.75" customHeight="1" x14ac:dyDescent="0.2">
      <c r="A334" s="5"/>
      <c r="B334" s="6"/>
      <c r="C334" s="7" t="s">
        <v>10</v>
      </c>
      <c r="D334" s="6"/>
      <c r="E334" s="8"/>
    </row>
    <row r="335" spans="1:5" ht="12.75" customHeight="1" x14ac:dyDescent="0.2">
      <c r="A335" s="5"/>
      <c r="B335" s="6"/>
      <c r="C335" s="7" t="s">
        <v>10</v>
      </c>
      <c r="D335" s="6"/>
      <c r="E335" s="8"/>
    </row>
    <row r="336" spans="1:5" ht="12.75" customHeight="1" x14ac:dyDescent="0.2">
      <c r="A336" s="5"/>
      <c r="B336" s="6"/>
      <c r="C336" s="7" t="s">
        <v>10</v>
      </c>
      <c r="D336" s="6"/>
      <c r="E336" s="8"/>
    </row>
    <row r="337" spans="1:5" ht="12.75" customHeight="1" x14ac:dyDescent="0.2">
      <c r="A337" s="5"/>
      <c r="B337" s="6"/>
      <c r="C337" s="7" t="s">
        <v>10</v>
      </c>
      <c r="D337" s="6"/>
      <c r="E337" s="8"/>
    </row>
    <row r="338" spans="1:5" ht="12.75" customHeight="1" x14ac:dyDescent="0.2">
      <c r="A338" s="5"/>
      <c r="B338" s="6"/>
      <c r="C338" s="7" t="s">
        <v>10</v>
      </c>
      <c r="D338" s="6"/>
      <c r="E338" s="8"/>
    </row>
    <row r="339" spans="1:5" ht="12.75" customHeight="1" x14ac:dyDescent="0.2">
      <c r="A339" s="5"/>
      <c r="B339" s="6"/>
      <c r="C339" s="7" t="s">
        <v>10</v>
      </c>
      <c r="D339" s="6"/>
      <c r="E339" s="8"/>
    </row>
    <row r="340" spans="1:5" ht="12.75" customHeight="1" x14ac:dyDescent="0.2">
      <c r="A340" s="5"/>
      <c r="B340" s="6"/>
      <c r="C340" s="7" t="s">
        <v>10</v>
      </c>
      <c r="D340" s="6"/>
      <c r="E340" s="8"/>
    </row>
    <row r="341" spans="1:5" ht="12.75" customHeight="1" x14ac:dyDescent="0.2">
      <c r="A341" s="5"/>
      <c r="B341" s="6"/>
      <c r="C341" s="7" t="s">
        <v>10</v>
      </c>
      <c r="D341" s="6"/>
      <c r="E341" s="8"/>
    </row>
    <row r="342" spans="1:5" ht="12.75" customHeight="1" x14ac:dyDescent="0.2">
      <c r="A342" s="5"/>
      <c r="B342" s="6"/>
      <c r="C342" s="7" t="s">
        <v>10</v>
      </c>
      <c r="D342" s="6"/>
      <c r="E342" s="8"/>
    </row>
    <row r="343" spans="1:5" ht="12.75" customHeight="1" x14ac:dyDescent="0.2">
      <c r="A343" s="5"/>
      <c r="B343" s="6"/>
      <c r="C343" s="7" t="s">
        <v>10</v>
      </c>
      <c r="D343" s="6"/>
      <c r="E343" s="8"/>
    </row>
    <row r="344" spans="1:5" ht="12.75" customHeight="1" x14ac:dyDescent="0.2">
      <c r="A344" s="5"/>
      <c r="B344" s="6"/>
      <c r="C344" s="7" t="s">
        <v>10</v>
      </c>
      <c r="D344" s="6"/>
      <c r="E344" s="8"/>
    </row>
    <row r="345" spans="1:5" ht="12.75" customHeight="1" x14ac:dyDescent="0.2">
      <c r="A345" s="5"/>
      <c r="B345" s="6"/>
      <c r="C345" s="7" t="s">
        <v>10</v>
      </c>
      <c r="D345" s="6"/>
      <c r="E345" s="8"/>
    </row>
    <row r="346" spans="1:5" ht="12.75" customHeight="1" x14ac:dyDescent="0.2">
      <c r="A346" s="5"/>
      <c r="B346" s="6"/>
      <c r="C346" s="7" t="s">
        <v>10</v>
      </c>
      <c r="D346" s="6"/>
      <c r="E346" s="8"/>
    </row>
    <row r="347" spans="1:5" ht="12.75" customHeight="1" x14ac:dyDescent="0.2">
      <c r="A347" s="5"/>
      <c r="B347" s="6"/>
      <c r="C347" s="7" t="s">
        <v>10</v>
      </c>
      <c r="D347" s="6"/>
      <c r="E347" s="8"/>
    </row>
    <row r="348" spans="1:5" ht="12.75" customHeight="1" x14ac:dyDescent="0.2">
      <c r="A348" s="5"/>
      <c r="B348" s="6"/>
      <c r="C348" s="7" t="s">
        <v>10</v>
      </c>
      <c r="D348" s="6"/>
      <c r="E348" s="8"/>
    </row>
    <row r="349" spans="1:5" ht="12.75" customHeight="1" x14ac:dyDescent="0.2">
      <c r="A349" s="5"/>
      <c r="B349" s="6"/>
      <c r="C349" s="7" t="s">
        <v>10</v>
      </c>
      <c r="D349" s="6"/>
      <c r="E349" s="8"/>
    </row>
    <row r="350" spans="1:5" ht="12.75" customHeight="1" x14ac:dyDescent="0.2">
      <c r="A350" s="5"/>
      <c r="B350" s="6"/>
      <c r="C350" s="7" t="s">
        <v>10</v>
      </c>
      <c r="D350" s="6"/>
      <c r="E350" s="8"/>
    </row>
    <row r="351" spans="1:5" ht="12.75" customHeight="1" x14ac:dyDescent="0.2">
      <c r="A351" s="5"/>
      <c r="B351" s="6"/>
      <c r="C351" s="7" t="s">
        <v>10</v>
      </c>
      <c r="D351" s="6"/>
      <c r="E351" s="8"/>
    </row>
    <row r="352" spans="1:5" ht="12.75" customHeight="1" x14ac:dyDescent="0.2">
      <c r="A352" s="5"/>
      <c r="B352" s="6"/>
      <c r="C352" s="7" t="s">
        <v>10</v>
      </c>
      <c r="D352" s="6"/>
      <c r="E352" s="8"/>
    </row>
    <row r="353" spans="1:5" ht="12.75" customHeight="1" x14ac:dyDescent="0.2">
      <c r="A353" s="5"/>
      <c r="B353" s="6"/>
      <c r="C353" s="7" t="s">
        <v>10</v>
      </c>
      <c r="D353" s="6"/>
      <c r="E353" s="8"/>
    </row>
    <row r="354" spans="1:5" ht="12.75" customHeight="1" x14ac:dyDescent="0.2">
      <c r="A354" s="5"/>
      <c r="B354" s="6"/>
      <c r="C354" s="7" t="s">
        <v>10</v>
      </c>
      <c r="D354" s="6"/>
      <c r="E354" s="8"/>
    </row>
    <row r="355" spans="1:5" ht="12.75" customHeight="1" x14ac:dyDescent="0.2">
      <c r="A355" s="5"/>
      <c r="B355" s="6"/>
      <c r="C355" s="7" t="s">
        <v>10</v>
      </c>
      <c r="D355" s="6"/>
      <c r="E355" s="8"/>
    </row>
    <row r="356" spans="1:5" ht="12.75" customHeight="1" x14ac:dyDescent="0.2">
      <c r="A356" s="5"/>
      <c r="B356" s="6"/>
      <c r="C356" s="7" t="s">
        <v>10</v>
      </c>
      <c r="D356" s="6"/>
      <c r="E356" s="8"/>
    </row>
    <row r="357" spans="1:5" ht="12.75" customHeight="1" x14ac:dyDescent="0.2">
      <c r="A357" s="5"/>
      <c r="B357" s="6"/>
      <c r="C357" s="7" t="s">
        <v>10</v>
      </c>
      <c r="D357" s="6"/>
      <c r="E357" s="8"/>
    </row>
    <row r="358" spans="1:5" ht="12.75" customHeight="1" x14ac:dyDescent="0.2">
      <c r="A358" s="5"/>
      <c r="B358" s="6"/>
      <c r="C358" s="7" t="s">
        <v>10</v>
      </c>
      <c r="D358" s="6"/>
      <c r="E358" s="8"/>
    </row>
    <row r="359" spans="1:5" ht="12.75" customHeight="1" x14ac:dyDescent="0.2">
      <c r="A359" s="5"/>
      <c r="B359" s="6"/>
      <c r="C359" s="7" t="s">
        <v>10</v>
      </c>
      <c r="D359" s="6"/>
      <c r="E359" s="8"/>
    </row>
    <row r="360" spans="1:5" ht="12.75" customHeight="1" x14ac:dyDescent="0.2">
      <c r="A360" s="5"/>
      <c r="B360" s="6"/>
      <c r="C360" s="7" t="s">
        <v>10</v>
      </c>
      <c r="D360" s="6"/>
      <c r="E360" s="8"/>
    </row>
    <row r="361" spans="1:5" ht="12.75" customHeight="1" x14ac:dyDescent="0.2">
      <c r="A361" s="5"/>
      <c r="B361" s="6"/>
      <c r="C361" s="7" t="s">
        <v>10</v>
      </c>
      <c r="D361" s="6"/>
      <c r="E361" s="8"/>
    </row>
    <row r="362" spans="1:5" ht="12.75" customHeight="1" x14ac:dyDescent="0.2">
      <c r="A362" s="5"/>
      <c r="B362" s="6"/>
      <c r="C362" s="7" t="s">
        <v>10</v>
      </c>
      <c r="D362" s="6"/>
      <c r="E362" s="8"/>
    </row>
    <row r="363" spans="1:5" ht="12.75" customHeight="1" x14ac:dyDescent="0.2">
      <c r="A363" s="5"/>
      <c r="B363" s="6"/>
      <c r="C363" s="7" t="s">
        <v>10</v>
      </c>
      <c r="D363" s="6"/>
      <c r="E363" s="8"/>
    </row>
    <row r="364" spans="1:5" ht="12.75" customHeight="1" x14ac:dyDescent="0.2">
      <c r="A364" s="5"/>
      <c r="B364" s="6"/>
      <c r="C364" s="7" t="s">
        <v>10</v>
      </c>
      <c r="D364" s="6"/>
      <c r="E364" s="8"/>
    </row>
    <row r="365" spans="1:5" ht="12.75" customHeight="1" x14ac:dyDescent="0.2">
      <c r="A365" s="5"/>
      <c r="B365" s="6"/>
      <c r="C365" s="7" t="s">
        <v>10</v>
      </c>
      <c r="D365" s="6"/>
      <c r="E365" s="8"/>
    </row>
    <row r="366" spans="1:5" ht="12.75" customHeight="1" x14ac:dyDescent="0.2">
      <c r="A366" s="5"/>
      <c r="B366" s="6"/>
      <c r="C366" s="7" t="s">
        <v>10</v>
      </c>
      <c r="D366" s="6"/>
      <c r="E366" s="8"/>
    </row>
    <row r="367" spans="1:5" ht="12.75" customHeight="1" x14ac:dyDescent="0.2">
      <c r="A367" s="5"/>
      <c r="B367" s="6"/>
      <c r="C367" s="7" t="s">
        <v>10</v>
      </c>
      <c r="D367" s="6"/>
      <c r="E367" s="8"/>
    </row>
    <row r="368" spans="1:5" ht="12.75" customHeight="1" x14ac:dyDescent="0.2">
      <c r="A368" s="5"/>
      <c r="B368" s="6"/>
      <c r="C368" s="7" t="s">
        <v>10</v>
      </c>
      <c r="D368" s="6"/>
      <c r="E368" s="8"/>
    </row>
    <row r="369" spans="1:5" ht="12.75" customHeight="1" x14ac:dyDescent="0.2">
      <c r="A369" s="5"/>
      <c r="B369" s="6"/>
      <c r="C369" s="7" t="s">
        <v>10</v>
      </c>
      <c r="D369" s="6"/>
      <c r="E369" s="8"/>
    </row>
    <row r="370" spans="1:5" ht="12.75" customHeight="1" x14ac:dyDescent="0.2">
      <c r="A370" s="5"/>
      <c r="B370" s="6"/>
      <c r="C370" s="7" t="s">
        <v>10</v>
      </c>
      <c r="D370" s="6"/>
      <c r="E370" s="8"/>
    </row>
    <row r="371" spans="1:5" ht="12.75" customHeight="1" x14ac:dyDescent="0.2">
      <c r="A371" s="5"/>
      <c r="B371" s="6"/>
      <c r="C371" s="7" t="s">
        <v>10</v>
      </c>
      <c r="D371" s="6"/>
      <c r="E371" s="8"/>
    </row>
    <row r="372" spans="1:5" ht="12.75" customHeight="1" x14ac:dyDescent="0.2">
      <c r="A372" s="5"/>
      <c r="B372" s="6"/>
      <c r="C372" s="7" t="s">
        <v>10</v>
      </c>
      <c r="D372" s="6"/>
      <c r="E372" s="8"/>
    </row>
    <row r="373" spans="1:5" ht="12.75" customHeight="1" x14ac:dyDescent="0.2">
      <c r="A373" s="5"/>
      <c r="B373" s="6"/>
      <c r="C373" s="7" t="s">
        <v>10</v>
      </c>
      <c r="D373" s="6"/>
      <c r="E373" s="8"/>
    </row>
    <row r="374" spans="1:5" ht="12.75" customHeight="1" x14ac:dyDescent="0.2">
      <c r="A374" s="5"/>
      <c r="B374" s="6"/>
      <c r="C374" s="7" t="s">
        <v>10</v>
      </c>
      <c r="D374" s="6"/>
      <c r="E374" s="8"/>
    </row>
    <row r="375" spans="1:5" ht="12.75" customHeight="1" x14ac:dyDescent="0.2">
      <c r="A375" s="5"/>
      <c r="B375" s="6"/>
      <c r="C375" s="7"/>
      <c r="D375" s="6"/>
      <c r="E375" s="8"/>
    </row>
    <row r="376" spans="1:5" ht="12.75" customHeight="1" x14ac:dyDescent="0.2">
      <c r="A376" s="5"/>
      <c r="B376" s="6"/>
      <c r="C376" s="7" t="s">
        <v>10</v>
      </c>
      <c r="D376" s="6"/>
      <c r="E376" s="8"/>
    </row>
    <row r="377" spans="1:5" ht="12.75" customHeight="1" x14ac:dyDescent="0.2">
      <c r="A377" s="5"/>
      <c r="B377" s="6"/>
      <c r="C377" s="7" t="s">
        <v>10</v>
      </c>
      <c r="D377" s="6"/>
      <c r="E377" s="8"/>
    </row>
    <row r="378" spans="1:5" ht="12.75" customHeight="1" x14ac:dyDescent="0.2">
      <c r="A378" s="5"/>
      <c r="B378" s="6"/>
      <c r="C378" s="7" t="s">
        <v>10</v>
      </c>
      <c r="D378" s="6"/>
      <c r="E378" s="8"/>
    </row>
    <row r="379" spans="1:5" ht="12.75" customHeight="1" x14ac:dyDescent="0.2">
      <c r="A379" s="5"/>
      <c r="B379" s="6"/>
      <c r="C379" s="7" t="s">
        <v>10</v>
      </c>
      <c r="D379" s="6"/>
      <c r="E379" s="8"/>
    </row>
    <row r="380" spans="1:5" ht="12.75" customHeight="1" x14ac:dyDescent="0.2">
      <c r="A380" s="5"/>
      <c r="B380" s="6"/>
      <c r="C380" s="7" t="s">
        <v>10</v>
      </c>
      <c r="D380" s="6"/>
      <c r="E380" s="8"/>
    </row>
    <row r="381" spans="1:5" ht="12.75" customHeight="1" x14ac:dyDescent="0.2">
      <c r="A381" s="5"/>
      <c r="B381" s="6"/>
      <c r="C381" s="7" t="s">
        <v>10</v>
      </c>
      <c r="D381" s="6"/>
      <c r="E381" s="8"/>
    </row>
    <row r="382" spans="1:5" ht="12.75" customHeight="1" x14ac:dyDescent="0.2">
      <c r="A382" s="5"/>
      <c r="B382" s="6"/>
      <c r="C382" s="7" t="s">
        <v>10</v>
      </c>
      <c r="D382" s="6"/>
      <c r="E382" s="8"/>
    </row>
    <row r="383" spans="1:5" ht="12.75" customHeight="1" x14ac:dyDescent="0.2">
      <c r="A383" s="5"/>
      <c r="B383" s="6"/>
      <c r="C383" s="7" t="s">
        <v>10</v>
      </c>
      <c r="D383" s="6"/>
      <c r="E383" s="8"/>
    </row>
    <row r="384" spans="1:5" ht="12.75" customHeight="1" x14ac:dyDescent="0.2">
      <c r="A384" s="5"/>
      <c r="B384" s="6"/>
      <c r="C384" s="7" t="s">
        <v>10</v>
      </c>
      <c r="D384" s="6"/>
      <c r="E384" s="8"/>
    </row>
    <row r="385" spans="1:5" ht="12.75" customHeight="1" x14ac:dyDescent="0.2">
      <c r="A385" s="5"/>
      <c r="B385" s="6"/>
      <c r="C385" s="7" t="s">
        <v>10</v>
      </c>
      <c r="D385" s="6"/>
      <c r="E385" s="8"/>
    </row>
    <row r="386" spans="1:5" ht="12.75" customHeight="1" x14ac:dyDescent="0.2">
      <c r="A386" s="5"/>
      <c r="B386" s="6"/>
      <c r="C386" s="7" t="s">
        <v>10</v>
      </c>
      <c r="D386" s="6"/>
      <c r="E386" s="8"/>
    </row>
    <row r="387" spans="1:5" ht="12.75" customHeight="1" x14ac:dyDescent="0.2">
      <c r="A387" s="5"/>
      <c r="B387" s="6"/>
      <c r="C387" s="7" t="s">
        <v>10</v>
      </c>
      <c r="D387" s="6"/>
      <c r="E387" s="8"/>
    </row>
    <row r="388" spans="1:5" ht="12.75" customHeight="1" x14ac:dyDescent="0.2">
      <c r="A388" s="5"/>
      <c r="B388" s="6"/>
      <c r="C388" s="7" t="s">
        <v>10</v>
      </c>
      <c r="D388" s="6"/>
      <c r="E388" s="8"/>
    </row>
    <row r="389" spans="1:5" ht="12.75" customHeight="1" x14ac:dyDescent="0.2">
      <c r="A389" s="5"/>
      <c r="B389" s="6"/>
      <c r="C389" s="7" t="s">
        <v>10</v>
      </c>
      <c r="D389" s="6"/>
      <c r="E389" s="8"/>
    </row>
    <row r="390" spans="1:5" ht="12.75" customHeight="1" x14ac:dyDescent="0.2">
      <c r="A390" s="5"/>
      <c r="B390" s="6"/>
      <c r="C390" s="7" t="s">
        <v>10</v>
      </c>
      <c r="D390" s="6"/>
      <c r="E390" s="8"/>
    </row>
    <row r="391" spans="1:5" ht="12.75" customHeight="1" x14ac:dyDescent="0.2">
      <c r="A391" s="5"/>
      <c r="B391" s="6"/>
      <c r="C391" s="7" t="s">
        <v>10</v>
      </c>
      <c r="D391" s="6"/>
      <c r="E391" s="8"/>
    </row>
    <row r="392" spans="1:5" ht="12.75" customHeight="1" x14ac:dyDescent="0.2">
      <c r="A392" s="5"/>
      <c r="B392" s="6"/>
      <c r="C392" s="7" t="s">
        <v>10</v>
      </c>
      <c r="D392" s="6"/>
      <c r="E392" s="8"/>
    </row>
    <row r="393" spans="1:5" ht="12.75" customHeight="1" x14ac:dyDescent="0.2">
      <c r="A393" s="5"/>
      <c r="B393" s="6"/>
      <c r="C393" s="7" t="s">
        <v>10</v>
      </c>
      <c r="D393" s="6"/>
      <c r="E393" s="8"/>
    </row>
    <row r="394" spans="1:5" ht="12.75" customHeight="1" x14ac:dyDescent="0.2">
      <c r="A394" s="5"/>
      <c r="B394" s="6"/>
      <c r="C394" s="7" t="s">
        <v>10</v>
      </c>
      <c r="D394" s="6"/>
      <c r="E394" s="8"/>
    </row>
    <row r="395" spans="1:5" ht="12.75" customHeight="1" x14ac:dyDescent="0.2">
      <c r="A395" s="5"/>
      <c r="B395" s="6"/>
      <c r="C395" s="7" t="s">
        <v>10</v>
      </c>
      <c r="D395" s="6"/>
      <c r="E395" s="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1"/>
  <sheetViews>
    <sheetView topLeftCell="A27" workbookViewId="0">
      <selection activeCell="C51" sqref="C51"/>
    </sheetView>
  </sheetViews>
  <sheetFormatPr defaultRowHeight="12.75" x14ac:dyDescent="0.2"/>
  <cols>
    <col min="1" max="1" width="8.140625" style="10" bestFit="1" customWidth="1"/>
    <col min="2" max="2" width="4.7109375" style="3" bestFit="1" customWidth="1"/>
    <col min="3" max="3" width="17.5703125" style="3" bestFit="1" customWidth="1"/>
    <col min="4" max="12" width="5.7109375" style="3" customWidth="1"/>
    <col min="13" max="13" width="13.140625" style="3" bestFit="1" customWidth="1"/>
    <col min="14" max="14" width="10.85546875" style="3" bestFit="1" customWidth="1"/>
    <col min="15" max="16384" width="9.140625" style="3"/>
  </cols>
  <sheetData>
    <row r="1" spans="1:14" ht="13.5" thickBot="1" x14ac:dyDescent="0.25">
      <c r="A1" s="74" t="s">
        <v>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4" x14ac:dyDescent="0.2">
      <c r="A2" s="77" t="s">
        <v>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">
      <c r="A3" s="2" t="s">
        <v>15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17</v>
      </c>
      <c r="M3" s="2" t="s">
        <v>18</v>
      </c>
      <c r="N3" s="2" t="s">
        <v>19</v>
      </c>
    </row>
    <row r="4" spans="1:14" x14ac:dyDescent="0.2">
      <c r="A4" s="10">
        <f>IF(C4="","",RANK($B4,Group1[Rank],1)+COUNTIF($B$4:$B4,$B4)-1)</f>
        <v>1</v>
      </c>
      <c r="B4" s="3">
        <f>L4+M4+N4</f>
        <v>1</v>
      </c>
      <c r="C4" s="10" t="str">
        <f>Teams!A2</f>
        <v>Canada</v>
      </c>
      <c r="D4" s="18">
        <f>SUMPRODUCT((Fixtures[Home
Team]=Group1[[#This Row],[Team]])*(Fixtures[Home
Score]&lt;&gt;"")+(Fixtures[Away
Score]&lt;&gt;"")*(Fixtures[Away
Team]=Group1[[#This Row],[Team]]))</f>
        <v>3</v>
      </c>
      <c r="E4" s="18">
        <f>SUMPRODUCT((Fixtures[Home
Team]=Group1[[#This Row],[Team]])*(Fixtures[Home
Score]&gt;Fixtures[Away
Score])+(Fixtures[Away
Score]&gt;Fixtures[Home
Score])*(Fixtures[Away
Team]=Group1[[#This Row],[Team]]))</f>
        <v>1</v>
      </c>
      <c r="F4" s="18">
        <f>SUMPRODUCT((Fixtures[Home
Team]=Group1[[#This Row],[Team]])*(Fixtures[Home
Score]&lt;Fixtures[Away
Score])+(Fixtures[Away
Score]&lt;Fixtures[Home
Score])*(Fixtures[Away
Team]=Group1[[#This Row],[Team]]))</f>
        <v>0</v>
      </c>
      <c r="G4" s="18">
        <f>SUMPRODUCT((Fixtures[Home
Team]=Group1[[#This Row],[Team]])*(Fixtures[Home
Score]=Fixtures[Away
Score])*(Fixtures[Home
Score]&lt;&gt;"")+(Fixtures[Away
Score]=Fixtures[Home
Score])*(Fixtures[Away
Team]=Group1[[#This Row],[Team]])*(Fixtures[Away
Score]&lt;&gt;""))</f>
        <v>2</v>
      </c>
      <c r="H4" s="18">
        <f>SUMPRODUCT((Fixtures[Home
Team]=Group1[[#This Row],[Team]])*(Fixtures[Home
Score])+(Fixtures[Away
Team]=Group1[[#This Row],[Team]])*(Fixtures[Away
Score]))</f>
        <v>2</v>
      </c>
      <c r="I4" s="18">
        <f>SUMPRODUCT((Fixtures[Home
Team]=Group1[[#This Row],[Team]])*(Fixtures[Away
Score])+(Fixtures[Away
Team]=Group1[[#This Row],[Team]])*(Fixtures[Home
Score]))</f>
        <v>1</v>
      </c>
      <c r="J4" s="3">
        <f>$E4*Data!$B$2+$G4*Data!$B$3-Teams!$B2</f>
        <v>5</v>
      </c>
      <c r="K4" s="3">
        <f t="shared" ref="K4:K7" si="0">H4-I4</f>
        <v>1</v>
      </c>
      <c r="L4" s="3">
        <f>RANK(J4,Group1[Pts])</f>
        <v>1</v>
      </c>
      <c r="M4" s="3">
        <f>SUMPRODUCT((Group1[Pts]=J4)*(Group1[GD]&gt;K4))</f>
        <v>0</v>
      </c>
      <c r="N4" s="3">
        <f>SUMPRODUCT((Group1[Pts]=J4)*(Group1[GD]=K4)*(Group1[F]&gt;H4))</f>
        <v>0</v>
      </c>
    </row>
    <row r="5" spans="1:14" x14ac:dyDescent="0.2">
      <c r="A5" s="10">
        <f>IF(C5="","",RANK($B5,Group1[Rank],1)+COUNTIF($B$4:$B5,$B5)-1)</f>
        <v>3</v>
      </c>
      <c r="B5" s="3">
        <f t="shared" ref="B5:B7" si="1">L5+M5+N5</f>
        <v>3</v>
      </c>
      <c r="C5" s="10" t="str">
        <f>Teams!A3</f>
        <v>Netherlands</v>
      </c>
      <c r="D5" s="18">
        <f>SUMPRODUCT((Fixtures[Home
Team]=Group1[[#This Row],[Team]])*(Fixtures[Home
Score]&lt;&gt;"")+(Fixtures[Away
Score]&lt;&gt;"")*(Fixtures[Away
Team]=Group1[[#This Row],[Team]]))</f>
        <v>3</v>
      </c>
      <c r="E5" s="18">
        <f>SUMPRODUCT((Fixtures[Home
Team]=Group1[[#This Row],[Team]])*(Fixtures[Home
Score]&gt;Fixtures[Away
Score])+(Fixtures[Away
Score]&gt;Fixtures[Home
Score])*(Fixtures[Away
Team]=Group1[[#This Row],[Team]]))</f>
        <v>1</v>
      </c>
      <c r="F5" s="18">
        <f>SUMPRODUCT((Fixtures[Home
Team]=Group1[[#This Row],[Team]])*(Fixtures[Home
Score]&lt;Fixtures[Away
Score])+(Fixtures[Away
Score]&lt;Fixtures[Home
Score])*(Fixtures[Away
Team]=Group1[[#This Row],[Team]]))</f>
        <v>1</v>
      </c>
      <c r="G5" s="18">
        <f>SUMPRODUCT((Fixtures[Home
Team]=Group1[[#This Row],[Team]])*(Fixtures[Home
Score]=Fixtures[Away
Score])*(Fixtures[Home
Score]&lt;&gt;"")+(Fixtures[Away
Score]=Fixtures[Home
Score])*(Fixtures[Away
Team]=Group1[[#This Row],[Team]])*(Fixtures[Away
Score]&lt;&gt;""))</f>
        <v>1</v>
      </c>
      <c r="H5" s="18">
        <f>SUMPRODUCT((Fixtures[Home
Team]=Group1[[#This Row],[Team]])*(Fixtures[Home
Score])+(Fixtures[Away
Team]=Group1[[#This Row],[Team]])*(Fixtures[Away
Score]))</f>
        <v>2</v>
      </c>
      <c r="I5" s="18">
        <f>SUMPRODUCT((Fixtures[Home
Team]=Group1[[#This Row],[Team]])*(Fixtures[Away
Score])+(Fixtures[Away
Team]=Group1[[#This Row],[Team]])*(Fixtures[Home
Score]))</f>
        <v>2</v>
      </c>
      <c r="J5" s="3">
        <f>$E5*Data!$B$2+$G5*Data!$B$3-Teams!$B3</f>
        <v>4</v>
      </c>
      <c r="K5" s="3">
        <f t="shared" si="0"/>
        <v>0</v>
      </c>
      <c r="L5" s="3">
        <f>RANK(J5,Group1[Pts])</f>
        <v>2</v>
      </c>
      <c r="M5" s="3">
        <f>SUMPRODUCT((Group1[Pts]=J5)*(Group1[GD]&gt;K5))</f>
        <v>0</v>
      </c>
      <c r="N5" s="3">
        <f>SUMPRODUCT((Group1[Pts]=J5)*(Group1[GD]=K5)*(Group1[F]&gt;H5))</f>
        <v>1</v>
      </c>
    </row>
    <row r="6" spans="1:14" x14ac:dyDescent="0.2">
      <c r="A6" s="10">
        <f>IF(C6="","",RANK($B6,Group1[Rank],1)+COUNTIF($B$4:$B6,$B6)-1)</f>
        <v>2</v>
      </c>
      <c r="B6" s="3">
        <f t="shared" si="1"/>
        <v>2</v>
      </c>
      <c r="C6" s="10" t="str">
        <f>Teams!A4</f>
        <v>China</v>
      </c>
      <c r="D6" s="18">
        <f>SUMPRODUCT((Fixtures[Home
Team]=Group1[[#This Row],[Team]])*(Fixtures[Home
Score]&lt;&gt;"")+(Fixtures[Away
Score]&lt;&gt;"")*(Fixtures[Away
Team]=Group1[[#This Row],[Team]]))</f>
        <v>3</v>
      </c>
      <c r="E6" s="18">
        <f>SUMPRODUCT((Fixtures[Home
Team]=Group1[[#This Row],[Team]])*(Fixtures[Home
Score]&gt;Fixtures[Away
Score])+(Fixtures[Away
Score]&gt;Fixtures[Home
Score])*(Fixtures[Away
Team]=Group1[[#This Row],[Team]]))</f>
        <v>1</v>
      </c>
      <c r="F6" s="18">
        <f>SUMPRODUCT((Fixtures[Home
Team]=Group1[[#This Row],[Team]])*(Fixtures[Home
Score]&lt;Fixtures[Away
Score])+(Fixtures[Away
Score]&lt;Fixtures[Home
Score])*(Fixtures[Away
Team]=Group1[[#This Row],[Team]]))</f>
        <v>1</v>
      </c>
      <c r="G6" s="18">
        <f>SUMPRODUCT((Fixtures[Home
Team]=Group1[[#This Row],[Team]])*(Fixtures[Home
Score]=Fixtures[Away
Score])*(Fixtures[Home
Score]&lt;&gt;"")+(Fixtures[Away
Score]=Fixtures[Home
Score])*(Fixtures[Away
Team]=Group1[[#This Row],[Team]])*(Fixtures[Away
Score]&lt;&gt;""))</f>
        <v>1</v>
      </c>
      <c r="H6" s="18">
        <f>SUMPRODUCT((Fixtures[Home
Team]=Group1[[#This Row],[Team]])*(Fixtures[Home
Score])+(Fixtures[Away
Team]=Group1[[#This Row],[Team]])*(Fixtures[Away
Score]))</f>
        <v>3</v>
      </c>
      <c r="I6" s="18">
        <f>SUMPRODUCT((Fixtures[Home
Team]=Group1[[#This Row],[Team]])*(Fixtures[Away
Score])+(Fixtures[Away
Team]=Group1[[#This Row],[Team]])*(Fixtures[Home
Score]))</f>
        <v>3</v>
      </c>
      <c r="J6" s="3">
        <f>$E6*Data!$B$2+$G6*Data!$B$3-Teams!$B4</f>
        <v>4</v>
      </c>
      <c r="K6" s="3">
        <f t="shared" si="0"/>
        <v>0</v>
      </c>
      <c r="L6" s="3">
        <f>RANK(J6,Group1[Pts])</f>
        <v>2</v>
      </c>
      <c r="M6" s="3">
        <f>SUMPRODUCT((Group1[Pts]=J6)*(Group1[GD]&gt;K6))</f>
        <v>0</v>
      </c>
      <c r="N6" s="3">
        <f>SUMPRODUCT((Group1[Pts]=J6)*(Group1[GD]=K6)*(Group1[F]&gt;H6))</f>
        <v>0</v>
      </c>
    </row>
    <row r="7" spans="1:14" ht="13.5" thickBot="1" x14ac:dyDescent="0.25">
      <c r="A7" s="10">
        <f>IF(C7="","",RANK($B7,Group1[Rank],1)+COUNTIF($B$4:$B7,$B7)-1)</f>
        <v>4</v>
      </c>
      <c r="B7" s="3">
        <f t="shared" si="1"/>
        <v>4</v>
      </c>
      <c r="C7" s="10" t="str">
        <f>Teams!A5</f>
        <v>New Zealand</v>
      </c>
      <c r="D7" s="18">
        <f>SUMPRODUCT((Fixtures[Home
Team]=Group1[[#This Row],[Team]])*(Fixtures[Home
Score]&lt;&gt;"")+(Fixtures[Away
Score]&lt;&gt;"")*(Fixtures[Away
Team]=Group1[[#This Row],[Team]]))</f>
        <v>3</v>
      </c>
      <c r="E7" s="18">
        <f>SUMPRODUCT((Fixtures[Home
Team]=Group1[[#This Row],[Team]])*(Fixtures[Home
Score]&gt;Fixtures[Away
Score])+(Fixtures[Away
Score]&gt;Fixtures[Home
Score])*(Fixtures[Away
Team]=Group1[[#This Row],[Team]]))</f>
        <v>0</v>
      </c>
      <c r="F7" s="18">
        <f>SUMPRODUCT((Fixtures[Home
Team]=Group1[[#This Row],[Team]])*(Fixtures[Home
Score]&lt;Fixtures[Away
Score])+(Fixtures[Away
Score]&lt;Fixtures[Home
Score])*(Fixtures[Away
Team]=Group1[[#This Row],[Team]]))</f>
        <v>1</v>
      </c>
      <c r="G7" s="18">
        <f>SUMPRODUCT((Fixtures[Home
Team]=Group1[[#This Row],[Team]])*(Fixtures[Home
Score]=Fixtures[Away
Score])*(Fixtures[Home
Score]&lt;&gt;"")+(Fixtures[Away
Score]=Fixtures[Home
Score])*(Fixtures[Away
Team]=Group1[[#This Row],[Team]])*(Fixtures[Away
Score]&lt;&gt;""))</f>
        <v>2</v>
      </c>
      <c r="H7" s="18">
        <f>SUMPRODUCT((Fixtures[Home
Team]=Group1[[#This Row],[Team]])*(Fixtures[Home
Score])+(Fixtures[Away
Team]=Group1[[#This Row],[Team]])*(Fixtures[Away
Score]))</f>
        <v>2</v>
      </c>
      <c r="I7" s="18">
        <f>SUMPRODUCT((Fixtures[Home
Team]=Group1[[#This Row],[Team]])*(Fixtures[Away
Score])+(Fixtures[Away
Team]=Group1[[#This Row],[Team]])*(Fixtures[Home
Score]))</f>
        <v>3</v>
      </c>
      <c r="J7" s="3">
        <f>$E7*Data!$B$2+$G7*Data!$B$3-Teams!$B5</f>
        <v>2</v>
      </c>
      <c r="K7" s="3">
        <f t="shared" si="0"/>
        <v>-1</v>
      </c>
      <c r="L7" s="3">
        <f>RANK(J7,Group1[Pts])</f>
        <v>4</v>
      </c>
      <c r="M7" s="3">
        <f>SUMPRODUCT((Group1[Pts]=J7)*(Group1[GD]&gt;K7))</f>
        <v>0</v>
      </c>
      <c r="N7" s="3">
        <f>SUMPRODUCT((Group1[Pts]=J7)*(Group1[GD]=K7)*(Group1[F]&gt;H7))</f>
        <v>0</v>
      </c>
    </row>
    <row r="8" spans="1:14" ht="13.5" thickBot="1" x14ac:dyDescent="0.25">
      <c r="A8" s="74" t="s">
        <v>31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</row>
    <row r="9" spans="1:14" x14ac:dyDescent="0.2">
      <c r="A9" s="78" t="s">
        <v>25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4" x14ac:dyDescent="0.2">
      <c r="A10" s="2" t="s">
        <v>15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  <c r="K10" s="2" t="s">
        <v>9</v>
      </c>
      <c r="L10" s="2" t="s">
        <v>17</v>
      </c>
      <c r="M10" s="2" t="s">
        <v>18</v>
      </c>
      <c r="N10" s="2" t="s">
        <v>19</v>
      </c>
    </row>
    <row r="11" spans="1:14" x14ac:dyDescent="0.2">
      <c r="A11" s="15">
        <f>IF(C11="","",RANK($B11,Group2[Rank],1)+COUNTIF($B$11:$B11,$B11)-1)</f>
        <v>1</v>
      </c>
      <c r="B11" s="3">
        <f>L11+M11+N11</f>
        <v>1</v>
      </c>
      <c r="C11" s="15" t="str">
        <f>Teams!A8</f>
        <v>Germany</v>
      </c>
      <c r="D11" s="18">
        <f>SUMPRODUCT((Fixtures[Home
Team]=Group2[[#This Row],[Team]])*(Fixtures[Home
Score]&lt;&gt;"")+(Fixtures[Away
Score]&lt;&gt;"")*(Fixtures[Away
Team]=Group2[[#This Row],[Team]]))</f>
        <v>3</v>
      </c>
      <c r="E11" s="18">
        <f>SUMPRODUCT((Fixtures[Home
Team]=Group2[[#This Row],[Team]])*(Fixtures[Home
Score]&gt;Fixtures[Away
Score])+(Fixtures[Away
Score]&gt;Fixtures[Home
Score])*(Fixtures[Away
Team]=Group2[[#This Row],[Team]]))</f>
        <v>2</v>
      </c>
      <c r="F11" s="18">
        <f>SUMPRODUCT((Fixtures[Home
Team]=Group2[[#This Row],[Team]])*(Fixtures[Home
Score]&lt;Fixtures[Away
Score])+(Fixtures[Away
Score]&lt;Fixtures[Home
Score])*(Fixtures[Away
Team]=Group2[[#This Row],[Team]]))</f>
        <v>0</v>
      </c>
      <c r="G11" s="18">
        <f>SUMPRODUCT((Fixtures[Home
Team]=Group2[[#This Row],[Team]])*(Fixtures[Home
Score]=Fixtures[Away
Score])*(Fixtures[Home
Score]&lt;&gt;"")+(Fixtures[Away
Score]=Fixtures[Home
Score])*(Fixtures[Away
Team]=Group2[[#This Row],[Team]])*(Fixtures[Away
Score]&lt;&gt;""))</f>
        <v>1</v>
      </c>
      <c r="H11" s="18">
        <f>SUMPRODUCT((Fixtures[Home
Team]=Group2[[#This Row],[Team]])*(Fixtures[Home
Score])+(Fixtures[Away
Team]=Group2[[#This Row],[Team]])*(Fixtures[Away
Score]))</f>
        <v>15</v>
      </c>
      <c r="I11" s="18">
        <f>SUMPRODUCT((Fixtures[Home
Team]=Group2[[#This Row],[Team]])*(Fixtures[Away
Score])+(Fixtures[Away
Team]=Group2[[#This Row],[Team]])*(Fixtures[Home
Score]))</f>
        <v>1</v>
      </c>
      <c r="J11" s="3">
        <f>$E11*Data!$B$2+$G11*Data!$B$3-Teams!$B8</f>
        <v>7</v>
      </c>
      <c r="K11" s="3">
        <f t="shared" ref="K11:K14" si="2">H11-I11</f>
        <v>14</v>
      </c>
      <c r="L11" s="3">
        <f>RANK(J11,Group2[Pts])</f>
        <v>1</v>
      </c>
      <c r="M11" s="3">
        <f>SUMPRODUCT((Group2[Pts]=J11)*(Group2[GD]&gt;K11))</f>
        <v>0</v>
      </c>
      <c r="N11" s="3">
        <f>SUMPRODUCT((Group2[Pts]=J11)*(Group2[GD]=K11)*(Group2[F]&gt;H11))</f>
        <v>0</v>
      </c>
    </row>
    <row r="12" spans="1:14" x14ac:dyDescent="0.2">
      <c r="A12" s="15">
        <f>IF(C12="","",RANK($B12,Group2[Rank],1)+COUNTIF($B$11:$B12,$B12)-1)</f>
        <v>2</v>
      </c>
      <c r="B12" s="3">
        <f t="shared" ref="B12:B14" si="3">L12+M12+N12</f>
        <v>2</v>
      </c>
      <c r="C12" s="15" t="str">
        <f>Teams!A9</f>
        <v>Norway</v>
      </c>
      <c r="D12" s="18">
        <f>SUMPRODUCT((Fixtures[Home
Team]=Group2[[#This Row],[Team]])*(Fixtures[Home
Score]&lt;&gt;"")+(Fixtures[Away
Score]&lt;&gt;"")*(Fixtures[Away
Team]=Group2[[#This Row],[Team]]))</f>
        <v>3</v>
      </c>
      <c r="E12" s="18">
        <f>SUMPRODUCT((Fixtures[Home
Team]=Group2[[#This Row],[Team]])*(Fixtures[Home
Score]&gt;Fixtures[Away
Score])+(Fixtures[Away
Score]&gt;Fixtures[Home
Score])*(Fixtures[Away
Team]=Group2[[#This Row],[Team]]))</f>
        <v>2</v>
      </c>
      <c r="F12" s="18">
        <f>SUMPRODUCT((Fixtures[Home
Team]=Group2[[#This Row],[Team]])*(Fixtures[Home
Score]&lt;Fixtures[Away
Score])+(Fixtures[Away
Score]&lt;Fixtures[Home
Score])*(Fixtures[Away
Team]=Group2[[#This Row],[Team]]))</f>
        <v>0</v>
      </c>
      <c r="G12" s="18">
        <f>SUMPRODUCT((Fixtures[Home
Team]=Group2[[#This Row],[Team]])*(Fixtures[Home
Score]=Fixtures[Away
Score])*(Fixtures[Home
Score]&lt;&gt;"")+(Fixtures[Away
Score]=Fixtures[Home
Score])*(Fixtures[Away
Team]=Group2[[#This Row],[Team]])*(Fixtures[Away
Score]&lt;&gt;""))</f>
        <v>1</v>
      </c>
      <c r="H12" s="18">
        <f>SUMPRODUCT((Fixtures[Home
Team]=Group2[[#This Row],[Team]])*(Fixtures[Home
Score])+(Fixtures[Away
Team]=Group2[[#This Row],[Team]])*(Fixtures[Away
Score]))</f>
        <v>8</v>
      </c>
      <c r="I12" s="18">
        <f>SUMPRODUCT((Fixtures[Home
Team]=Group2[[#This Row],[Team]])*(Fixtures[Away
Score])+(Fixtures[Away
Team]=Group2[[#This Row],[Team]])*(Fixtures[Home
Score]))</f>
        <v>2</v>
      </c>
      <c r="J12" s="3">
        <f>$E12*Data!$B$2+$G12*Data!$B$3-Teams!$B9</f>
        <v>7</v>
      </c>
      <c r="K12" s="3">
        <f t="shared" si="2"/>
        <v>6</v>
      </c>
      <c r="L12" s="3">
        <f>RANK(J12,Group2[Pts])</f>
        <v>1</v>
      </c>
      <c r="M12" s="3">
        <f>SUMPRODUCT((Group2[Pts]=J12)*(Group2[GD]&gt;K12))</f>
        <v>1</v>
      </c>
      <c r="N12" s="3">
        <f>SUMPRODUCT((Group2[Pts]=J12)*(Group2[GD]=K12)*(Group2[F]&gt;H12))</f>
        <v>0</v>
      </c>
    </row>
    <row r="13" spans="1:14" x14ac:dyDescent="0.2">
      <c r="A13" s="15">
        <f>IF(C13="","",RANK($B13,Group2[Rank],1)+COUNTIF($B$11:$B13,$B13)-1)</f>
        <v>3</v>
      </c>
      <c r="B13" s="3">
        <f t="shared" si="3"/>
        <v>3</v>
      </c>
      <c r="C13" s="15" t="str">
        <f>Teams!A10</f>
        <v>Thailand</v>
      </c>
      <c r="D13" s="18">
        <f>SUMPRODUCT((Fixtures[Home
Team]=Group2[[#This Row],[Team]])*(Fixtures[Home
Score]&lt;&gt;"")+(Fixtures[Away
Score]&lt;&gt;"")*(Fixtures[Away
Team]=Group2[[#This Row],[Team]]))</f>
        <v>3</v>
      </c>
      <c r="E13" s="18">
        <f>SUMPRODUCT((Fixtures[Home
Team]=Group2[[#This Row],[Team]])*(Fixtures[Home
Score]&gt;Fixtures[Away
Score])+(Fixtures[Away
Score]&gt;Fixtures[Home
Score])*(Fixtures[Away
Team]=Group2[[#This Row],[Team]]))</f>
        <v>1</v>
      </c>
      <c r="F13" s="18">
        <f>SUMPRODUCT((Fixtures[Home
Team]=Group2[[#This Row],[Team]])*(Fixtures[Home
Score]&lt;Fixtures[Away
Score])+(Fixtures[Away
Score]&lt;Fixtures[Home
Score])*(Fixtures[Away
Team]=Group2[[#This Row],[Team]]))</f>
        <v>2</v>
      </c>
      <c r="G13" s="18">
        <f>SUMPRODUCT((Fixtures[Home
Team]=Group2[[#This Row],[Team]])*(Fixtures[Home
Score]=Fixtures[Away
Score])*(Fixtures[Home
Score]&lt;&gt;"")+(Fixtures[Away
Score]=Fixtures[Home
Score])*(Fixtures[Away
Team]=Group2[[#This Row],[Team]])*(Fixtures[Away
Score]&lt;&gt;""))</f>
        <v>0</v>
      </c>
      <c r="H13" s="18">
        <f>SUMPRODUCT((Fixtures[Home
Team]=Group2[[#This Row],[Team]])*(Fixtures[Home
Score])+(Fixtures[Away
Team]=Group2[[#This Row],[Team]])*(Fixtures[Away
Score]))</f>
        <v>3</v>
      </c>
      <c r="I13" s="18">
        <f>SUMPRODUCT((Fixtures[Home
Team]=Group2[[#This Row],[Team]])*(Fixtures[Away
Score])+(Fixtures[Away
Team]=Group2[[#This Row],[Team]])*(Fixtures[Home
Score]))</f>
        <v>10</v>
      </c>
      <c r="J13" s="3">
        <f>$E13*Data!$B$2+$G13*Data!$B$3-Teams!$B10</f>
        <v>3</v>
      </c>
      <c r="K13" s="3">
        <f t="shared" si="2"/>
        <v>-7</v>
      </c>
      <c r="L13" s="3">
        <f>RANK(J13,Group2[Pts])</f>
        <v>3</v>
      </c>
      <c r="M13" s="3">
        <f>SUMPRODUCT((Group2[Pts]=J13)*(Group2[GD]&gt;K13))</f>
        <v>0</v>
      </c>
      <c r="N13" s="3">
        <f>SUMPRODUCT((Group2[Pts]=J13)*(Group2[GD]=K13)*(Group2[F]&gt;H13))</f>
        <v>0</v>
      </c>
    </row>
    <row r="14" spans="1:14" ht="13.5" thickBot="1" x14ac:dyDescent="0.25">
      <c r="A14" s="15">
        <f>IF(C14="","",RANK($B14,Group2[Rank],1)+COUNTIF($B$11:$B14,$B14)-1)</f>
        <v>4</v>
      </c>
      <c r="B14" s="3">
        <f t="shared" si="3"/>
        <v>4</v>
      </c>
      <c r="C14" s="15" t="str">
        <f>Teams!A11</f>
        <v>Cote D'Ivoire</v>
      </c>
      <c r="D14" s="18">
        <f>SUMPRODUCT((Fixtures[Home
Team]=Group2[[#This Row],[Team]])*(Fixtures[Home
Score]&lt;&gt;"")+(Fixtures[Away
Score]&lt;&gt;"")*(Fixtures[Away
Team]=Group2[[#This Row],[Team]]))</f>
        <v>3</v>
      </c>
      <c r="E14" s="18">
        <f>SUMPRODUCT((Fixtures[Home
Team]=Group2[[#This Row],[Team]])*(Fixtures[Home
Score]&gt;Fixtures[Away
Score])+(Fixtures[Away
Score]&gt;Fixtures[Home
Score])*(Fixtures[Away
Team]=Group2[[#This Row],[Team]]))</f>
        <v>0</v>
      </c>
      <c r="F14" s="18">
        <f>SUMPRODUCT((Fixtures[Home
Team]=Group2[[#This Row],[Team]])*(Fixtures[Home
Score]&lt;Fixtures[Away
Score])+(Fixtures[Away
Score]&lt;Fixtures[Home
Score])*(Fixtures[Away
Team]=Group2[[#This Row],[Team]]))</f>
        <v>3</v>
      </c>
      <c r="G14" s="18">
        <f>SUMPRODUCT((Fixtures[Home
Team]=Group2[[#This Row],[Team]])*(Fixtures[Home
Score]=Fixtures[Away
Score])*(Fixtures[Home
Score]&lt;&gt;"")+(Fixtures[Away
Score]=Fixtures[Home
Score])*(Fixtures[Away
Team]=Group2[[#This Row],[Team]])*(Fixtures[Away
Score]&lt;&gt;""))</f>
        <v>0</v>
      </c>
      <c r="H14" s="18">
        <f>SUMPRODUCT((Fixtures[Home
Team]=Group2[[#This Row],[Team]])*(Fixtures[Home
Score])+(Fixtures[Away
Team]=Group2[[#This Row],[Team]])*(Fixtures[Away
Score]))</f>
        <v>3</v>
      </c>
      <c r="I14" s="18">
        <f>SUMPRODUCT((Fixtures[Home
Team]=Group2[[#This Row],[Team]])*(Fixtures[Away
Score])+(Fixtures[Away
Team]=Group2[[#This Row],[Team]])*(Fixtures[Home
Score]))</f>
        <v>16</v>
      </c>
      <c r="J14" s="3">
        <f>$E14*Data!$B$2+$G14*Data!$B$3-Teams!$B11</f>
        <v>0</v>
      </c>
      <c r="K14" s="3">
        <f t="shared" si="2"/>
        <v>-13</v>
      </c>
      <c r="L14" s="3">
        <f>RANK(J14,Group2[Pts])</f>
        <v>4</v>
      </c>
      <c r="M14" s="3">
        <f>SUMPRODUCT((Group2[Pts]=J14)*(Group2[GD]&gt;K14))</f>
        <v>0</v>
      </c>
      <c r="N14" s="3">
        <f>SUMPRODUCT((Group2[Pts]=J14)*(Group2[GD]=K14)*(Group2[F]&gt;H14))</f>
        <v>0</v>
      </c>
    </row>
    <row r="15" spans="1:14" ht="13.5" thickBot="1" x14ac:dyDescent="0.25">
      <c r="A15" s="74" t="s">
        <v>30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</row>
    <row r="16" spans="1:14" x14ac:dyDescent="0.2">
      <c r="A16" s="78" t="s">
        <v>25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x14ac:dyDescent="0.2">
      <c r="A17" s="2" t="s">
        <v>15</v>
      </c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  <c r="K17" s="2" t="s">
        <v>9</v>
      </c>
      <c r="L17" s="2" t="s">
        <v>17</v>
      </c>
      <c r="M17" s="2" t="s">
        <v>18</v>
      </c>
      <c r="N17" s="2" t="s">
        <v>19</v>
      </c>
    </row>
    <row r="18" spans="1:14" x14ac:dyDescent="0.2">
      <c r="A18" s="15">
        <f>IF(C18="","",RANK($B18,Group3[Rank],1)+COUNTIF($B$18:$B18,$B18)-1)</f>
        <v>2</v>
      </c>
      <c r="B18" s="3">
        <f t="shared" ref="B18:B21" si="4">L18+M18+N18</f>
        <v>2</v>
      </c>
      <c r="C18" s="15" t="str">
        <f>Teams!A14</f>
        <v>Cameroon</v>
      </c>
      <c r="D18" s="18">
        <f>SUMPRODUCT((Fixtures[Home
Team]=Group3[[#This Row],[Team]])*(Fixtures[Home
Score]&lt;&gt;"")+(Fixtures[Away
Score]&lt;&gt;"")*(Fixtures[Away
Team]=Group3[[#This Row],[Team]]))</f>
        <v>3</v>
      </c>
      <c r="E18" s="18">
        <f>SUMPRODUCT((Fixtures[Home
Team]=Group3[[#This Row],[Team]])*(Fixtures[Home
Score]&gt;Fixtures[Away
Score])+(Fixtures[Away
Score]&gt;Fixtures[Home
Score])*(Fixtures[Away
Team]=Group3[[#This Row],[Team]]))</f>
        <v>2</v>
      </c>
      <c r="F18" s="18">
        <f>SUMPRODUCT((Fixtures[Home
Team]=Group3[[#This Row],[Team]])*(Fixtures[Home
Score]&lt;Fixtures[Away
Score])+(Fixtures[Away
Score]&lt;Fixtures[Home
Score])*(Fixtures[Away
Team]=Group3[[#This Row],[Team]]))</f>
        <v>1</v>
      </c>
      <c r="G18" s="18">
        <f>SUMPRODUCT((Fixtures[Home
Team]=Group3[[#This Row],[Team]])*(Fixtures[Home
Score]=Fixtures[Away
Score])*(Fixtures[Home
Score]&lt;&gt;"")+(Fixtures[Away
Score]=Fixtures[Home
Score])*(Fixtures[Away
Team]=Group3[[#This Row],[Team]])*(Fixtures[Away
Score]&lt;&gt;""))</f>
        <v>0</v>
      </c>
      <c r="H18" s="18">
        <f>SUMPRODUCT((Fixtures[Home
Team]=Group3[[#This Row],[Team]])*(Fixtures[Home
Score])+(Fixtures[Away
Team]=Group3[[#This Row],[Team]])*(Fixtures[Away
Score]))</f>
        <v>9</v>
      </c>
      <c r="I18" s="18">
        <f>SUMPRODUCT((Fixtures[Home
Team]=Group3[[#This Row],[Team]])*(Fixtures[Away
Score])+(Fixtures[Away
Team]=Group3[[#This Row],[Team]])*(Fixtures[Home
Score]))</f>
        <v>3</v>
      </c>
      <c r="J18" s="3">
        <f>$E18*Data!$B$2+$G18*Data!$B$3-Teams!$B15</f>
        <v>6</v>
      </c>
      <c r="K18" s="3">
        <f t="shared" ref="K18:K21" si="5">H18-I18</f>
        <v>6</v>
      </c>
      <c r="L18" s="3">
        <f>RANK(J18,Group3[Pts])</f>
        <v>2</v>
      </c>
      <c r="M18" s="3">
        <f>SUMPRODUCT((Group3[Pts]=J18)*(Group3[GD]&gt;K18))</f>
        <v>0</v>
      </c>
      <c r="N18" s="3">
        <f>SUMPRODUCT((Group3[Pts]=J18)*(Group3[GD]=K18)*(Group3[F]&gt;H18))</f>
        <v>0</v>
      </c>
    </row>
    <row r="19" spans="1:14" x14ac:dyDescent="0.2">
      <c r="A19" s="15">
        <f>IF(C19="","",RANK($B19,Group3[Rank],1)+COUNTIF($B$18:$B19,$B19)-1)</f>
        <v>1</v>
      </c>
      <c r="B19" s="3">
        <f t="shared" si="4"/>
        <v>1</v>
      </c>
      <c r="C19" s="15" t="str">
        <f>Teams!A15</f>
        <v>Japan</v>
      </c>
      <c r="D19" s="18">
        <f>SUMPRODUCT((Fixtures[Home
Team]=Group3[[#This Row],[Team]])*(Fixtures[Home
Score]&lt;&gt;"")+(Fixtures[Away
Score]&lt;&gt;"")*(Fixtures[Away
Team]=Group3[[#This Row],[Team]]))</f>
        <v>3</v>
      </c>
      <c r="E19" s="18">
        <f>SUMPRODUCT((Fixtures[Home
Team]=Group3[[#This Row],[Team]])*(Fixtures[Home
Score]&gt;Fixtures[Away
Score])+(Fixtures[Away
Score]&gt;Fixtures[Home
Score])*(Fixtures[Away
Team]=Group3[[#This Row],[Team]]))</f>
        <v>3</v>
      </c>
      <c r="F19" s="18">
        <f>SUMPRODUCT((Fixtures[Home
Team]=Group3[[#This Row],[Team]])*(Fixtures[Home
Score]&lt;Fixtures[Away
Score])+(Fixtures[Away
Score]&lt;Fixtures[Home
Score])*(Fixtures[Away
Team]=Group3[[#This Row],[Team]]))</f>
        <v>0</v>
      </c>
      <c r="G19" s="18">
        <f>SUMPRODUCT((Fixtures[Home
Team]=Group3[[#This Row],[Team]])*(Fixtures[Home
Score]=Fixtures[Away
Score])*(Fixtures[Home
Score]&lt;&gt;"")+(Fixtures[Away
Score]=Fixtures[Home
Score])*(Fixtures[Away
Team]=Group3[[#This Row],[Team]])*(Fixtures[Away
Score]&lt;&gt;""))</f>
        <v>0</v>
      </c>
      <c r="H19" s="18">
        <f>SUMPRODUCT((Fixtures[Home
Team]=Group3[[#This Row],[Team]])*(Fixtures[Home
Score])+(Fixtures[Away
Team]=Group3[[#This Row],[Team]])*(Fixtures[Away
Score]))</f>
        <v>4</v>
      </c>
      <c r="I19" s="18">
        <f>SUMPRODUCT((Fixtures[Home
Team]=Group3[[#This Row],[Team]])*(Fixtures[Away
Score])+(Fixtures[Away
Team]=Group3[[#This Row],[Team]])*(Fixtures[Home
Score]))</f>
        <v>1</v>
      </c>
      <c r="J19" s="3">
        <f>$E19*Data!$B$2+$G19*Data!$B$3-Teams!$B16</f>
        <v>9</v>
      </c>
      <c r="K19" s="3">
        <f t="shared" si="5"/>
        <v>3</v>
      </c>
      <c r="L19" s="3">
        <f>RANK(J19,Group3[Pts])</f>
        <v>1</v>
      </c>
      <c r="M19" s="3">
        <f>SUMPRODUCT((Group3[Pts]=J19)*(Group3[GD]&gt;K19))</f>
        <v>0</v>
      </c>
      <c r="N19" s="3">
        <f>SUMPRODUCT((Group3[Pts]=J19)*(Group3[GD]=K19)*(Group3[F]&gt;H19))</f>
        <v>0</v>
      </c>
    </row>
    <row r="20" spans="1:14" x14ac:dyDescent="0.2">
      <c r="A20" s="15">
        <f>IF(C20="","",RANK($B20,Group3[Rank],1)+COUNTIF($B$18:$B20,$B20)-1)</f>
        <v>3</v>
      </c>
      <c r="B20" s="3">
        <f t="shared" si="4"/>
        <v>3</v>
      </c>
      <c r="C20" s="15" t="str">
        <f>Teams!A16</f>
        <v>Switzerland</v>
      </c>
      <c r="D20" s="18">
        <f>SUMPRODUCT((Fixtures[Home
Team]=Group3[[#This Row],[Team]])*(Fixtures[Home
Score]&lt;&gt;"")+(Fixtures[Away
Score]&lt;&gt;"")*(Fixtures[Away
Team]=Group3[[#This Row],[Team]]))</f>
        <v>3</v>
      </c>
      <c r="E20" s="18">
        <f>SUMPRODUCT((Fixtures[Home
Team]=Group3[[#This Row],[Team]])*(Fixtures[Home
Score]&gt;Fixtures[Away
Score])+(Fixtures[Away
Score]&gt;Fixtures[Home
Score])*(Fixtures[Away
Team]=Group3[[#This Row],[Team]]))</f>
        <v>1</v>
      </c>
      <c r="F20" s="18">
        <f>SUMPRODUCT((Fixtures[Home
Team]=Group3[[#This Row],[Team]])*(Fixtures[Home
Score]&lt;Fixtures[Away
Score])+(Fixtures[Away
Score]&lt;Fixtures[Home
Score])*(Fixtures[Away
Team]=Group3[[#This Row],[Team]]))</f>
        <v>2</v>
      </c>
      <c r="G20" s="18">
        <f>SUMPRODUCT((Fixtures[Home
Team]=Group3[[#This Row],[Team]])*(Fixtures[Home
Score]=Fixtures[Away
Score])*(Fixtures[Home
Score]&lt;&gt;"")+(Fixtures[Away
Score]=Fixtures[Home
Score])*(Fixtures[Away
Team]=Group3[[#This Row],[Team]])*(Fixtures[Away
Score]&lt;&gt;""))</f>
        <v>0</v>
      </c>
      <c r="H20" s="18">
        <f>SUMPRODUCT((Fixtures[Home
Team]=Group3[[#This Row],[Team]])*(Fixtures[Home
Score])+(Fixtures[Away
Team]=Group3[[#This Row],[Team]])*(Fixtures[Away
Score]))</f>
        <v>11</v>
      </c>
      <c r="I20" s="18">
        <f>SUMPRODUCT((Fixtures[Home
Team]=Group3[[#This Row],[Team]])*(Fixtures[Away
Score])+(Fixtures[Away
Team]=Group3[[#This Row],[Team]])*(Fixtures[Home
Score]))</f>
        <v>4</v>
      </c>
      <c r="J20" s="3">
        <f>$E20*Data!$B$2+$G20*Data!$B$3-Teams!$B17</f>
        <v>3</v>
      </c>
      <c r="K20" s="3">
        <f t="shared" si="5"/>
        <v>7</v>
      </c>
      <c r="L20" s="3">
        <f>RANK(J20,Group3[Pts])</f>
        <v>3</v>
      </c>
      <c r="M20" s="3">
        <f>SUMPRODUCT((Group3[Pts]=J20)*(Group3[GD]&gt;K20))</f>
        <v>0</v>
      </c>
      <c r="N20" s="3">
        <f>SUMPRODUCT((Group3[Pts]=J20)*(Group3[GD]=K20)*(Group3[F]&gt;H20))</f>
        <v>0</v>
      </c>
    </row>
    <row r="21" spans="1:14" ht="13.5" thickBot="1" x14ac:dyDescent="0.25">
      <c r="A21" s="15">
        <f>IF(C21="","",RANK($B21,Group3[Rank],1)+COUNTIF($B$18:$B21,$B21)-1)</f>
        <v>4</v>
      </c>
      <c r="B21" s="3">
        <f t="shared" si="4"/>
        <v>4</v>
      </c>
      <c r="C21" s="15" t="str">
        <f>Teams!A17</f>
        <v>Ecuador</v>
      </c>
      <c r="D21" s="18">
        <f>SUMPRODUCT((Fixtures[Home
Team]=Group3[[#This Row],[Team]])*(Fixtures[Home
Score]&lt;&gt;"")+(Fixtures[Away
Score]&lt;&gt;"")*(Fixtures[Away
Team]=Group3[[#This Row],[Team]]))</f>
        <v>3</v>
      </c>
      <c r="E21" s="18">
        <f>SUMPRODUCT((Fixtures[Home
Team]=Group3[[#This Row],[Team]])*(Fixtures[Home
Score]&gt;Fixtures[Away
Score])+(Fixtures[Away
Score]&gt;Fixtures[Home
Score])*(Fixtures[Away
Team]=Group3[[#This Row],[Team]]))</f>
        <v>0</v>
      </c>
      <c r="F21" s="18">
        <f>SUMPRODUCT((Fixtures[Home
Team]=Group3[[#This Row],[Team]])*(Fixtures[Home
Score]&lt;Fixtures[Away
Score])+(Fixtures[Away
Score]&lt;Fixtures[Home
Score])*(Fixtures[Away
Team]=Group3[[#This Row],[Team]]))</f>
        <v>3</v>
      </c>
      <c r="G21" s="18">
        <f>SUMPRODUCT((Fixtures[Home
Team]=Group3[[#This Row],[Team]])*(Fixtures[Home
Score]=Fixtures[Away
Score])*(Fixtures[Home
Score]&lt;&gt;"")+(Fixtures[Away
Score]=Fixtures[Home
Score])*(Fixtures[Away
Team]=Group3[[#This Row],[Team]])*(Fixtures[Away
Score]&lt;&gt;""))</f>
        <v>0</v>
      </c>
      <c r="H21" s="18">
        <f>SUMPRODUCT((Fixtures[Home
Team]=Group3[[#This Row],[Team]])*(Fixtures[Home
Score])+(Fixtures[Away
Team]=Group3[[#This Row],[Team]])*(Fixtures[Away
Score]))</f>
        <v>1</v>
      </c>
      <c r="I21" s="18">
        <f>SUMPRODUCT((Fixtures[Home
Team]=Group3[[#This Row],[Team]])*(Fixtures[Away
Score])+(Fixtures[Away
Team]=Group3[[#This Row],[Team]])*(Fixtures[Home
Score]))</f>
        <v>17</v>
      </c>
      <c r="J21" s="3">
        <f>$E21*Data!$B$2+$G21*Data!$B$3-Teams!$B18</f>
        <v>0</v>
      </c>
      <c r="K21" s="3">
        <f t="shared" si="5"/>
        <v>-16</v>
      </c>
      <c r="L21" s="3">
        <f>RANK(J21,Group3[Pts])</f>
        <v>4</v>
      </c>
      <c r="M21" s="3">
        <f>SUMPRODUCT((Group3[Pts]=J21)*(Group3[GD]&gt;K21))</f>
        <v>0</v>
      </c>
      <c r="N21" s="3">
        <f>SUMPRODUCT((Group3[Pts]=J21)*(Group3[GD]=K21)*(Group3[F]&gt;H21))</f>
        <v>0</v>
      </c>
    </row>
    <row r="22" spans="1:14" ht="13.5" thickBot="1" x14ac:dyDescent="0.25">
      <c r="A22" s="74" t="s">
        <v>29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</row>
    <row r="23" spans="1:14" x14ac:dyDescent="0.2">
      <c r="A23" s="78" t="s">
        <v>25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4" x14ac:dyDescent="0.2">
      <c r="A24" s="2" t="s">
        <v>15</v>
      </c>
      <c r="B24" s="2" t="s">
        <v>0</v>
      </c>
      <c r="C24" s="2" t="s">
        <v>1</v>
      </c>
      <c r="D24" s="2" t="s">
        <v>2</v>
      </c>
      <c r="E24" s="2" t="s">
        <v>3</v>
      </c>
      <c r="F24" s="2" t="s">
        <v>4</v>
      </c>
      <c r="G24" s="2" t="s">
        <v>5</v>
      </c>
      <c r="H24" s="2" t="s">
        <v>6</v>
      </c>
      <c r="I24" s="2" t="s">
        <v>7</v>
      </c>
      <c r="J24" s="2" t="s">
        <v>8</v>
      </c>
      <c r="K24" s="2" t="s">
        <v>9</v>
      </c>
      <c r="L24" s="2" t="s">
        <v>17</v>
      </c>
      <c r="M24" s="2" t="s">
        <v>18</v>
      </c>
      <c r="N24" s="2" t="s">
        <v>19</v>
      </c>
    </row>
    <row r="25" spans="1:14" x14ac:dyDescent="0.2">
      <c r="A25" s="15">
        <f>IF(C25="","",RANK($B25,Group4[Rank],1)+COUNTIF($B$25:$B25,$B25)-1)</f>
        <v>1</v>
      </c>
      <c r="B25" s="3">
        <f t="shared" ref="B25:B28" si="6">L25+M25+N25</f>
        <v>1</v>
      </c>
      <c r="C25" s="15" t="str">
        <f>Teams!A20</f>
        <v>USA</v>
      </c>
      <c r="D25" s="18">
        <f>SUMPRODUCT((Fixtures[Home
Team]=Group4[[#This Row],[Team]])*(Fixtures[Home
Score]&lt;&gt;"")+(Fixtures[Away
Score]&lt;&gt;"")*(Fixtures[Away
Team]=Group4[[#This Row],[Team]]))</f>
        <v>3</v>
      </c>
      <c r="E25" s="18">
        <f>SUMPRODUCT((Fixtures[Home
Team]=Group4[[#This Row],[Team]])*(Fixtures[Home
Score]&gt;Fixtures[Away
Score])+(Fixtures[Away
Score]&gt;Fixtures[Home
Score])*(Fixtures[Away
Team]=Group4[[#This Row],[Team]]))</f>
        <v>2</v>
      </c>
      <c r="F25" s="18">
        <f>SUMPRODUCT((Fixtures[Home
Team]=Group4[[#This Row],[Team]])*(Fixtures[Home
Score]&lt;Fixtures[Away
Score])+(Fixtures[Away
Score]&lt;Fixtures[Home
Score])*(Fixtures[Away
Team]=Group4[[#This Row],[Team]]))</f>
        <v>0</v>
      </c>
      <c r="G25" s="18">
        <f>SUMPRODUCT((Fixtures[Home
Team]=Group4[[#This Row],[Team]])*(Fixtures[Home
Score]=Fixtures[Away
Score])*(Fixtures[Home
Score]&lt;&gt;"")+(Fixtures[Away
Score]=Fixtures[Home
Score])*(Fixtures[Away
Team]=Group4[[#This Row],[Team]])*(Fixtures[Away
Score]&lt;&gt;""))</f>
        <v>1</v>
      </c>
      <c r="H25" s="18">
        <f>SUMPRODUCT((Fixtures[Home
Team]=Group4[[#This Row],[Team]])*(Fixtures[Home
Score])+(Fixtures[Away
Team]=Group4[[#This Row],[Team]])*(Fixtures[Away
Score]))</f>
        <v>4</v>
      </c>
      <c r="I25" s="18">
        <f>SUMPRODUCT((Fixtures[Home
Team]=Group4[[#This Row],[Team]])*(Fixtures[Away
Score])+(Fixtures[Away
Team]=Group4[[#This Row],[Team]])*(Fixtures[Home
Score]))</f>
        <v>1</v>
      </c>
      <c r="J25" s="3">
        <f>$E25*Data!$B$2+$G25*Data!$B$3-Teams!$B20</f>
        <v>7</v>
      </c>
      <c r="K25" s="3">
        <f t="shared" ref="K25:K28" si="7">H25-I25</f>
        <v>3</v>
      </c>
      <c r="L25" s="3">
        <f>RANK(J25,Group4[Pts])</f>
        <v>1</v>
      </c>
      <c r="M25" s="3">
        <f>SUMPRODUCT((Group4[Pts]=J25)*(Group4[GD]&gt;K25))</f>
        <v>0</v>
      </c>
      <c r="N25" s="3">
        <f>SUMPRODUCT((Group4[Pts]=J25)*(Group4[GD]=K25)*(Group4[F]&gt;H25))</f>
        <v>0</v>
      </c>
    </row>
    <row r="26" spans="1:14" x14ac:dyDescent="0.2">
      <c r="A26" s="15">
        <f>IF(C26="","",RANK($B26,Group4[Rank],1)+COUNTIF($B$25:$B26,$B26)-1)</f>
        <v>4</v>
      </c>
      <c r="B26" s="3">
        <f t="shared" si="6"/>
        <v>4</v>
      </c>
      <c r="C26" s="15" t="str">
        <f>Teams!A21</f>
        <v>Nigeria</v>
      </c>
      <c r="D26" s="18">
        <f>SUMPRODUCT((Fixtures[Home
Team]=Group4[[#This Row],[Team]])*(Fixtures[Home
Score]&lt;&gt;"")+(Fixtures[Away
Score]&lt;&gt;"")*(Fixtures[Away
Team]=Group4[[#This Row],[Team]]))</f>
        <v>3</v>
      </c>
      <c r="E26" s="18">
        <f>SUMPRODUCT((Fixtures[Home
Team]=Group4[[#This Row],[Team]])*(Fixtures[Home
Score]&gt;Fixtures[Away
Score])+(Fixtures[Away
Score]&gt;Fixtures[Home
Score])*(Fixtures[Away
Team]=Group4[[#This Row],[Team]]))</f>
        <v>0</v>
      </c>
      <c r="F26" s="18">
        <f>SUMPRODUCT((Fixtures[Home
Team]=Group4[[#This Row],[Team]])*(Fixtures[Home
Score]&lt;Fixtures[Away
Score])+(Fixtures[Away
Score]&lt;Fixtures[Home
Score])*(Fixtures[Away
Team]=Group4[[#This Row],[Team]]))</f>
        <v>2</v>
      </c>
      <c r="G26" s="18">
        <f>SUMPRODUCT((Fixtures[Home
Team]=Group4[[#This Row],[Team]])*(Fixtures[Home
Score]=Fixtures[Away
Score])*(Fixtures[Home
Score]&lt;&gt;"")+(Fixtures[Away
Score]=Fixtures[Home
Score])*(Fixtures[Away
Team]=Group4[[#This Row],[Team]])*(Fixtures[Away
Score]&lt;&gt;""))</f>
        <v>1</v>
      </c>
      <c r="H26" s="18">
        <f>SUMPRODUCT((Fixtures[Home
Team]=Group4[[#This Row],[Team]])*(Fixtures[Home
Score])+(Fixtures[Away
Team]=Group4[[#This Row],[Team]])*(Fixtures[Away
Score]))</f>
        <v>3</v>
      </c>
      <c r="I26" s="18">
        <f>SUMPRODUCT((Fixtures[Home
Team]=Group4[[#This Row],[Team]])*(Fixtures[Away
Score])+(Fixtures[Away
Team]=Group4[[#This Row],[Team]])*(Fixtures[Home
Score]))</f>
        <v>6</v>
      </c>
      <c r="J26" s="3">
        <f>$E26*Data!$B$2+$G26*Data!$B$3-Teams!$B21</f>
        <v>1</v>
      </c>
      <c r="K26" s="3">
        <f t="shared" si="7"/>
        <v>-3</v>
      </c>
      <c r="L26" s="3">
        <f>RANK(J26,Group4[Pts])</f>
        <v>4</v>
      </c>
      <c r="M26" s="3">
        <f>SUMPRODUCT((Group4[Pts]=J26)*(Group4[GD]&gt;K26))</f>
        <v>0</v>
      </c>
      <c r="N26" s="3">
        <f>SUMPRODUCT((Group4[Pts]=J26)*(Group4[GD]=K26)*(Group4[F]&gt;H26))</f>
        <v>0</v>
      </c>
    </row>
    <row r="27" spans="1:14" x14ac:dyDescent="0.2">
      <c r="A27" s="15">
        <f>IF(C27="","",RANK($B27,Group4[Rank],1)+COUNTIF($B$25:$B27,$B27)-1)</f>
        <v>3</v>
      </c>
      <c r="B27" s="3">
        <f t="shared" si="6"/>
        <v>3</v>
      </c>
      <c r="C27" s="15" t="str">
        <f>Teams!A22</f>
        <v>Sweden</v>
      </c>
      <c r="D27" s="18">
        <f>SUMPRODUCT((Fixtures[Home
Team]=Group4[[#This Row],[Team]])*(Fixtures[Home
Score]&lt;&gt;"")+(Fixtures[Away
Score]&lt;&gt;"")*(Fixtures[Away
Team]=Group4[[#This Row],[Team]]))</f>
        <v>3</v>
      </c>
      <c r="E27" s="18">
        <f>SUMPRODUCT((Fixtures[Home
Team]=Group4[[#This Row],[Team]])*(Fixtures[Home
Score]&gt;Fixtures[Away
Score])+(Fixtures[Away
Score]&gt;Fixtures[Home
Score])*(Fixtures[Away
Team]=Group4[[#This Row],[Team]]))</f>
        <v>0</v>
      </c>
      <c r="F27" s="18">
        <f>SUMPRODUCT((Fixtures[Home
Team]=Group4[[#This Row],[Team]])*(Fixtures[Home
Score]&lt;Fixtures[Away
Score])+(Fixtures[Away
Score]&lt;Fixtures[Home
Score])*(Fixtures[Away
Team]=Group4[[#This Row],[Team]]))</f>
        <v>0</v>
      </c>
      <c r="G27" s="18">
        <f>SUMPRODUCT((Fixtures[Home
Team]=Group4[[#This Row],[Team]])*(Fixtures[Home
Score]=Fixtures[Away
Score])*(Fixtures[Home
Score]&lt;&gt;"")+(Fixtures[Away
Score]=Fixtures[Home
Score])*(Fixtures[Away
Team]=Group4[[#This Row],[Team]])*(Fixtures[Away
Score]&lt;&gt;""))</f>
        <v>3</v>
      </c>
      <c r="H27" s="18">
        <f>SUMPRODUCT((Fixtures[Home
Team]=Group4[[#This Row],[Team]])*(Fixtures[Home
Score])+(Fixtures[Away
Team]=Group4[[#This Row],[Team]])*(Fixtures[Away
Score]))</f>
        <v>4</v>
      </c>
      <c r="I27" s="18">
        <f>SUMPRODUCT((Fixtures[Home
Team]=Group4[[#This Row],[Team]])*(Fixtures[Away
Score])+(Fixtures[Away
Team]=Group4[[#This Row],[Team]])*(Fixtures[Home
Score]))</f>
        <v>4</v>
      </c>
      <c r="J27" s="3">
        <f>$E27*Data!$B$2+$G27*Data!$B$3-Teams!$B22</f>
        <v>3</v>
      </c>
      <c r="K27" s="3">
        <f t="shared" si="7"/>
        <v>0</v>
      </c>
      <c r="L27" s="3">
        <f>RANK(J27,Group4[Pts])</f>
        <v>3</v>
      </c>
      <c r="M27" s="3">
        <f>SUMPRODUCT((Group4[Pts]=J27)*(Group4[GD]&gt;K27))</f>
        <v>0</v>
      </c>
      <c r="N27" s="3">
        <f>SUMPRODUCT((Group4[Pts]=J27)*(Group4[GD]=K27)*(Group4[F]&gt;H27))</f>
        <v>0</v>
      </c>
    </row>
    <row r="28" spans="1:14" ht="13.5" thickBot="1" x14ac:dyDescent="0.25">
      <c r="A28" s="15">
        <f>IF(C28="","",RANK($B28,Group4[Rank],1)+COUNTIF($B$25:$B28,$B28)-1)</f>
        <v>2</v>
      </c>
      <c r="B28" s="3">
        <f t="shared" si="6"/>
        <v>2</v>
      </c>
      <c r="C28" s="15" t="str">
        <f>Teams!A23</f>
        <v>Australia</v>
      </c>
      <c r="D28" s="18">
        <f>SUMPRODUCT((Fixtures[Home
Team]=Group4[[#This Row],[Team]])*(Fixtures[Home
Score]&lt;&gt;"")+(Fixtures[Away
Score]&lt;&gt;"")*(Fixtures[Away
Team]=Group4[[#This Row],[Team]]))</f>
        <v>3</v>
      </c>
      <c r="E28" s="18">
        <f>SUMPRODUCT((Fixtures[Home
Team]=Group4[[#This Row],[Team]])*(Fixtures[Home
Score]&gt;Fixtures[Away
Score])+(Fixtures[Away
Score]&gt;Fixtures[Home
Score])*(Fixtures[Away
Team]=Group4[[#This Row],[Team]]))</f>
        <v>1</v>
      </c>
      <c r="F28" s="18">
        <f>SUMPRODUCT((Fixtures[Home
Team]=Group4[[#This Row],[Team]])*(Fixtures[Home
Score]&lt;Fixtures[Away
Score])+(Fixtures[Away
Score]&lt;Fixtures[Home
Score])*(Fixtures[Away
Team]=Group4[[#This Row],[Team]]))</f>
        <v>1</v>
      </c>
      <c r="G28" s="18">
        <f>SUMPRODUCT((Fixtures[Home
Team]=Group4[[#This Row],[Team]])*(Fixtures[Home
Score]=Fixtures[Away
Score])*(Fixtures[Home
Score]&lt;&gt;"")+(Fixtures[Away
Score]=Fixtures[Home
Score])*(Fixtures[Away
Team]=Group4[[#This Row],[Team]])*(Fixtures[Away
Score]&lt;&gt;""))</f>
        <v>1</v>
      </c>
      <c r="H28" s="18">
        <f>SUMPRODUCT((Fixtures[Home
Team]=Group4[[#This Row],[Team]])*(Fixtures[Home
Score])+(Fixtures[Away
Team]=Group4[[#This Row],[Team]])*(Fixtures[Away
Score]))</f>
        <v>4</v>
      </c>
      <c r="I28" s="18">
        <f>SUMPRODUCT((Fixtures[Home
Team]=Group4[[#This Row],[Team]])*(Fixtures[Away
Score])+(Fixtures[Away
Team]=Group4[[#This Row],[Team]])*(Fixtures[Home
Score]))</f>
        <v>4</v>
      </c>
      <c r="J28" s="3">
        <f>$E28*Data!$B$2+$G28*Data!$B$3-Teams!$B23</f>
        <v>4</v>
      </c>
      <c r="K28" s="3">
        <f t="shared" si="7"/>
        <v>0</v>
      </c>
      <c r="L28" s="3">
        <f>RANK(J28,Group4[Pts])</f>
        <v>2</v>
      </c>
      <c r="M28" s="3">
        <f>SUMPRODUCT((Group4[Pts]=J28)*(Group4[GD]&gt;K28))</f>
        <v>0</v>
      </c>
      <c r="N28" s="3">
        <f>SUMPRODUCT((Group4[Pts]=J28)*(Group4[GD]=K28)*(Group4[F]&gt;H28))</f>
        <v>0</v>
      </c>
    </row>
    <row r="29" spans="1:14" ht="13.5" thickBot="1" x14ac:dyDescent="0.25">
      <c r="A29" s="74" t="s">
        <v>28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</row>
    <row r="30" spans="1:14" x14ac:dyDescent="0.2">
      <c r="A30" s="78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x14ac:dyDescent="0.2">
      <c r="A31" s="2" t="s">
        <v>15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17</v>
      </c>
      <c r="M31" s="2" t="s">
        <v>18</v>
      </c>
      <c r="N31" s="2" t="s">
        <v>19</v>
      </c>
    </row>
    <row r="32" spans="1:14" x14ac:dyDescent="0.2">
      <c r="A32" s="15">
        <f>IF(C32="","",RANK($B32,Group5[Rank],1)+COUNTIF($B$32:$B32,$B32)-1)</f>
        <v>1</v>
      </c>
      <c r="B32" s="3">
        <f t="shared" ref="B32:B35" si="8">L32+M32+N32</f>
        <v>1</v>
      </c>
      <c r="C32" s="15" t="str">
        <f>Teams!A26</f>
        <v>Brazil</v>
      </c>
      <c r="D32" s="18">
        <f>SUMPRODUCT((Fixtures[Home
Team]=Group5[[#This Row],[Team]])*(Fixtures[Home
Score]&lt;&gt;"")+(Fixtures[Away
Score]&lt;&gt;"")*(Fixtures[Away
Team]=Group5[[#This Row],[Team]]))</f>
        <v>3</v>
      </c>
      <c r="E32" s="18">
        <f>SUMPRODUCT((Fixtures[Home
Team]=Group5[[#This Row],[Team]])*(Fixtures[Home
Score]&gt;Fixtures[Away
Score])+(Fixtures[Away
Score]&gt;Fixtures[Home
Score])*(Fixtures[Away
Team]=Group5[[#This Row],[Team]]))</f>
        <v>3</v>
      </c>
      <c r="F32" s="18">
        <f>SUMPRODUCT((Fixtures[Home
Team]=Group5[[#This Row],[Team]])*(Fixtures[Home
Score]&lt;Fixtures[Away
Score])+(Fixtures[Away
Score]&lt;Fixtures[Home
Score])*(Fixtures[Away
Team]=Group5[[#This Row],[Team]]))</f>
        <v>0</v>
      </c>
      <c r="G32" s="18">
        <f>SUMPRODUCT((Fixtures[Home
Team]=Group5[[#This Row],[Team]])*(Fixtures[Home
Score]=Fixtures[Away
Score])*(Fixtures[Home
Score]&lt;&gt;"")+(Fixtures[Away
Score]=Fixtures[Home
Score])*(Fixtures[Away
Team]=Group5[[#This Row],[Team]])*(Fixtures[Away
Score]&lt;&gt;""))</f>
        <v>0</v>
      </c>
      <c r="H32" s="18">
        <f>SUMPRODUCT((Fixtures[Home
Team]=Group5[[#This Row],[Team]])*(Fixtures[Home
Score])+(Fixtures[Away
Team]=Group5[[#This Row],[Team]])*(Fixtures[Away
Score]))</f>
        <v>4</v>
      </c>
      <c r="I32" s="18">
        <f>SUMPRODUCT((Fixtures[Home
Team]=Group5[[#This Row],[Team]])*(Fixtures[Away
Score])+(Fixtures[Away
Team]=Group5[[#This Row],[Team]])*(Fixtures[Home
Score]))</f>
        <v>0</v>
      </c>
      <c r="J32" s="3">
        <f>$E32*Data!$B$2+$G32*Data!$B$3-Teams!$B26</f>
        <v>9</v>
      </c>
      <c r="K32" s="3">
        <f t="shared" ref="K32:K35" si="9">H32-I32</f>
        <v>4</v>
      </c>
      <c r="L32" s="3">
        <f>RANK(J32,Group5[Pts])</f>
        <v>1</v>
      </c>
      <c r="M32" s="3">
        <f>SUMPRODUCT((Group5[Pts]=J32)*(Group5[GD]&gt;K32))</f>
        <v>0</v>
      </c>
      <c r="N32" s="3">
        <f>SUMPRODUCT((Group5[Pts]=J32)*(Group5[GD]=K32)*(Group5[F]&gt;H32))</f>
        <v>0</v>
      </c>
    </row>
    <row r="33" spans="1:15" x14ac:dyDescent="0.2">
      <c r="A33" s="15">
        <f>IF(C33="","",RANK($B33,Group5[Rank],1)+COUNTIF($B$32:$B33,$B33)-1)</f>
        <v>2</v>
      </c>
      <c r="B33" s="3">
        <f t="shared" si="8"/>
        <v>2</v>
      </c>
      <c r="C33" s="15" t="str">
        <f>Teams!A27</f>
        <v>Costa Rica</v>
      </c>
      <c r="D33" s="18">
        <f>SUMPRODUCT((Fixtures[Home
Team]=Group5[[#This Row],[Team]])*(Fixtures[Home
Score]&lt;&gt;"")+(Fixtures[Away
Score]&lt;&gt;"")*(Fixtures[Away
Team]=Group5[[#This Row],[Team]]))</f>
        <v>3</v>
      </c>
      <c r="E33" s="18">
        <f>SUMPRODUCT((Fixtures[Home
Team]=Group5[[#This Row],[Team]])*(Fixtures[Home
Score]&gt;Fixtures[Away
Score])+(Fixtures[Away
Score]&gt;Fixtures[Home
Score])*(Fixtures[Away
Team]=Group5[[#This Row],[Team]]))</f>
        <v>0</v>
      </c>
      <c r="F33" s="18">
        <f>SUMPRODUCT((Fixtures[Home
Team]=Group5[[#This Row],[Team]])*(Fixtures[Home
Score]&lt;Fixtures[Away
Score])+(Fixtures[Away
Score]&lt;Fixtures[Home
Score])*(Fixtures[Away
Team]=Group5[[#This Row],[Team]]))</f>
        <v>1</v>
      </c>
      <c r="G33" s="18">
        <f>SUMPRODUCT((Fixtures[Home
Team]=Group5[[#This Row],[Team]])*(Fixtures[Home
Score]=Fixtures[Away
Score])*(Fixtures[Home
Score]&lt;&gt;"")+(Fixtures[Away
Score]=Fixtures[Home
Score])*(Fixtures[Away
Team]=Group5[[#This Row],[Team]])*(Fixtures[Away
Score]&lt;&gt;""))</f>
        <v>2</v>
      </c>
      <c r="H33" s="18">
        <f>SUMPRODUCT((Fixtures[Home
Team]=Group5[[#This Row],[Team]])*(Fixtures[Home
Score])+(Fixtures[Away
Team]=Group5[[#This Row],[Team]])*(Fixtures[Away
Score]))</f>
        <v>3</v>
      </c>
      <c r="I33" s="18">
        <f>SUMPRODUCT((Fixtures[Home
Team]=Group5[[#This Row],[Team]])*(Fixtures[Away
Score])+(Fixtures[Away
Team]=Group5[[#This Row],[Team]])*(Fixtures[Home
Score]))</f>
        <v>4</v>
      </c>
      <c r="J33" s="3">
        <f>$E33*Data!$B$2+$G33*Data!$B$3-Teams!$B27</f>
        <v>2</v>
      </c>
      <c r="K33" s="3">
        <f t="shared" si="9"/>
        <v>-1</v>
      </c>
      <c r="L33" s="3">
        <f>RANK(J33,Group5[Pts])</f>
        <v>2</v>
      </c>
      <c r="M33" s="3">
        <f>SUMPRODUCT((Group5[Pts]=J33)*(Group5[GD]&gt;K33))</f>
        <v>0</v>
      </c>
      <c r="N33" s="3">
        <f>SUMPRODUCT((Group5[Pts]=J33)*(Group5[GD]=K33)*(Group5[F]&gt;H33))</f>
        <v>0</v>
      </c>
    </row>
    <row r="34" spans="1:15" x14ac:dyDescent="0.2">
      <c r="A34" s="15">
        <f>IF(C34="","",RANK($B34,Group5[Rank],1)+COUNTIF($B$32:$B34,$B34)-1)</f>
        <v>3</v>
      </c>
      <c r="B34" s="3">
        <f t="shared" si="8"/>
        <v>3</v>
      </c>
      <c r="C34" s="15" t="str">
        <f>Teams!A28</f>
        <v>Spain</v>
      </c>
      <c r="D34" s="18">
        <f>SUMPRODUCT((Fixtures[Home
Team]=Group5[[#This Row],[Team]])*(Fixtures[Home
Score]&lt;&gt;"")+(Fixtures[Away
Score]&lt;&gt;"")*(Fixtures[Away
Team]=Group5[[#This Row],[Team]]))</f>
        <v>3</v>
      </c>
      <c r="E34" s="18">
        <f>SUMPRODUCT((Fixtures[Home
Team]=Group5[[#This Row],[Team]])*(Fixtures[Home
Score]&gt;Fixtures[Away
Score])+(Fixtures[Away
Score]&gt;Fixtures[Home
Score])*(Fixtures[Away
Team]=Group5[[#This Row],[Team]]))</f>
        <v>0</v>
      </c>
      <c r="F34" s="18">
        <f>SUMPRODUCT((Fixtures[Home
Team]=Group5[[#This Row],[Team]])*(Fixtures[Home
Score]&lt;Fixtures[Away
Score])+(Fixtures[Away
Score]&lt;Fixtures[Home
Score])*(Fixtures[Away
Team]=Group5[[#This Row],[Team]]))</f>
        <v>2</v>
      </c>
      <c r="G34" s="18">
        <f>SUMPRODUCT((Fixtures[Home
Team]=Group5[[#This Row],[Team]])*(Fixtures[Home
Score]=Fixtures[Away
Score])*(Fixtures[Home
Score]&lt;&gt;"")+(Fixtures[Away
Score]=Fixtures[Home
Score])*(Fixtures[Away
Team]=Group5[[#This Row],[Team]])*(Fixtures[Away
Score]&lt;&gt;""))</f>
        <v>1</v>
      </c>
      <c r="H34" s="18">
        <f>SUMPRODUCT((Fixtures[Home
Team]=Group5[[#This Row],[Team]])*(Fixtures[Home
Score])+(Fixtures[Away
Team]=Group5[[#This Row],[Team]])*(Fixtures[Away
Score]))</f>
        <v>2</v>
      </c>
      <c r="I34" s="18">
        <f>SUMPRODUCT((Fixtures[Home
Team]=Group5[[#This Row],[Team]])*(Fixtures[Away
Score])+(Fixtures[Away
Team]=Group5[[#This Row],[Team]])*(Fixtures[Home
Score]))</f>
        <v>4</v>
      </c>
      <c r="J34" s="3">
        <f>$E34*Data!$B$2+$G34*Data!$B$3-Teams!$B28</f>
        <v>1</v>
      </c>
      <c r="K34" s="3">
        <f t="shared" si="9"/>
        <v>-2</v>
      </c>
      <c r="L34" s="3">
        <f>RANK(J34,Group5[Pts])</f>
        <v>3</v>
      </c>
      <c r="M34" s="3">
        <f>SUMPRODUCT((Group5[Pts]=J34)*(Group5[GD]&gt;K34))</f>
        <v>0</v>
      </c>
      <c r="N34" s="3">
        <f>SUMPRODUCT((Group5[Pts]=J34)*(Group5[GD]=K34)*(Group5[F]&gt;H34))</f>
        <v>0</v>
      </c>
    </row>
    <row r="35" spans="1:15" ht="13.5" thickBot="1" x14ac:dyDescent="0.25">
      <c r="A35" s="15">
        <f>IF(C35="","",RANK($B35,Group5[Rank],1)+COUNTIF($B$32:$B35,$B35)-1)</f>
        <v>4</v>
      </c>
      <c r="B35" s="3">
        <f t="shared" si="8"/>
        <v>4</v>
      </c>
      <c r="C35" s="15" t="str">
        <f>Teams!A29</f>
        <v>Korea Republic</v>
      </c>
      <c r="D35" s="18">
        <f>SUMPRODUCT((Fixtures[Home
Team]=Group5[[#This Row],[Team]])*(Fixtures[Home
Score]&lt;&gt;"")+(Fixtures[Away
Score]&lt;&gt;"")*(Fixtures[Away
Team]=Group5[[#This Row],[Team]]))</f>
        <v>1</v>
      </c>
      <c r="E35" s="18">
        <f>SUMPRODUCT((Fixtures[Home
Team]=Group5[[#This Row],[Team]])*(Fixtures[Home
Score]&gt;Fixtures[Away
Score])+(Fixtures[Away
Score]&gt;Fixtures[Home
Score])*(Fixtures[Away
Team]=Group5[[#This Row],[Team]]))</f>
        <v>0</v>
      </c>
      <c r="F35" s="18">
        <f>SUMPRODUCT((Fixtures[Home
Team]=Group5[[#This Row],[Team]])*(Fixtures[Home
Score]&lt;Fixtures[Away
Score])+(Fixtures[Away
Score]&lt;Fixtures[Home
Score])*(Fixtures[Away
Team]=Group5[[#This Row],[Team]]))</f>
        <v>1</v>
      </c>
      <c r="G35" s="18">
        <f>SUMPRODUCT((Fixtures[Home
Team]=Group5[[#This Row],[Team]])*(Fixtures[Home
Score]=Fixtures[Away
Score])*(Fixtures[Home
Score]&lt;&gt;"")+(Fixtures[Away
Score]=Fixtures[Home
Score])*(Fixtures[Away
Team]=Group5[[#This Row],[Team]])*(Fixtures[Away
Score]&lt;&gt;""))</f>
        <v>0</v>
      </c>
      <c r="H35" s="18">
        <f>SUMPRODUCT((Fixtures[Home
Team]=Group5[[#This Row],[Team]])*(Fixtures[Home
Score])+(Fixtures[Away
Team]=Group5[[#This Row],[Team]])*(Fixtures[Away
Score]))</f>
        <v>0</v>
      </c>
      <c r="I35" s="18">
        <f>SUMPRODUCT((Fixtures[Home
Team]=Group5[[#This Row],[Team]])*(Fixtures[Away
Score])+(Fixtures[Away
Team]=Group5[[#This Row],[Team]])*(Fixtures[Home
Score]))</f>
        <v>2</v>
      </c>
      <c r="J35" s="3">
        <f>$E35*Data!$B$2+$G35*Data!$B$3-Teams!$B29</f>
        <v>0</v>
      </c>
      <c r="K35" s="3">
        <f t="shared" si="9"/>
        <v>-2</v>
      </c>
      <c r="L35" s="3">
        <f>RANK(J35,Group5[Pts])</f>
        <v>4</v>
      </c>
      <c r="M35" s="3">
        <f>SUMPRODUCT((Group5[Pts]=J35)*(Group5[GD]&gt;K35))</f>
        <v>0</v>
      </c>
      <c r="N35" s="3">
        <f>SUMPRODUCT((Group5[Pts]=J35)*(Group5[GD]=K35)*(Group5[F]&gt;H35))</f>
        <v>0</v>
      </c>
    </row>
    <row r="36" spans="1:15" ht="13.5" thickBot="1" x14ac:dyDescent="0.25">
      <c r="A36" s="74" t="s">
        <v>27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6"/>
    </row>
    <row r="37" spans="1:15" x14ac:dyDescent="0.2">
      <c r="A37" s="78" t="s">
        <v>25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5" x14ac:dyDescent="0.2">
      <c r="A38" s="2" t="s">
        <v>15</v>
      </c>
      <c r="B38" s="2" t="s">
        <v>0</v>
      </c>
      <c r="C38" s="2" t="s">
        <v>1</v>
      </c>
      <c r="D38" s="2" t="s">
        <v>2</v>
      </c>
      <c r="E38" s="2" t="s">
        <v>3</v>
      </c>
      <c r="F38" s="2" t="s">
        <v>4</v>
      </c>
      <c r="G38" s="2" t="s">
        <v>5</v>
      </c>
      <c r="H38" s="2" t="s">
        <v>6</v>
      </c>
      <c r="I38" s="2" t="s">
        <v>7</v>
      </c>
      <c r="J38" s="2" t="s">
        <v>8</v>
      </c>
      <c r="K38" s="2" t="s">
        <v>9</v>
      </c>
      <c r="L38" s="2" t="s">
        <v>17</v>
      </c>
      <c r="M38" s="2" t="s">
        <v>18</v>
      </c>
      <c r="N38" s="2" t="s">
        <v>19</v>
      </c>
    </row>
    <row r="39" spans="1:15" x14ac:dyDescent="0.2">
      <c r="A39" s="15">
        <f>IF(C39="","",RANK($B39,Group6[Rank],1)+COUNTIF($B$39:$B39,$B39)-1)</f>
        <v>1</v>
      </c>
      <c r="B39" s="3">
        <f t="shared" ref="B39:B42" si="10">L39+M39+N39</f>
        <v>1</v>
      </c>
      <c r="C39" s="15" t="str">
        <f>Teams!A32</f>
        <v>France</v>
      </c>
      <c r="D39" s="18">
        <f>SUMPRODUCT((Fixtures[Home
Team]=Group6[[#This Row],[Team]])*(Fixtures[Home
Score]&lt;&gt;"")+(Fixtures[Away
Score]&lt;&gt;"")*(Fixtures[Away
Team]=Group6[[#This Row],[Team]]))</f>
        <v>3</v>
      </c>
      <c r="E39" s="18">
        <f>SUMPRODUCT((Fixtures[Home
Team]=Group6[[#This Row],[Team]])*(Fixtures[Home
Score]&gt;Fixtures[Away
Score])+(Fixtures[Away
Score]&gt;Fixtures[Home
Score])*(Fixtures[Away
Team]=Group6[[#This Row],[Team]]))</f>
        <v>2</v>
      </c>
      <c r="F39" s="18">
        <f>SUMPRODUCT((Fixtures[Home
Team]=Group6[[#This Row],[Team]])*(Fixtures[Home
Score]&lt;Fixtures[Away
Score])+(Fixtures[Away
Score]&lt;Fixtures[Home
Score])*(Fixtures[Away
Team]=Group6[[#This Row],[Team]]))</f>
        <v>1</v>
      </c>
      <c r="G39" s="18">
        <f>SUMPRODUCT((Fixtures[Home
Team]=Group6[[#This Row],[Team]])*(Fixtures[Home
Score]=Fixtures[Away
Score])*(Fixtures[Home
Score]&lt;&gt;"")+(Fixtures[Away
Score]=Fixtures[Home
Score])*(Fixtures[Away
Team]=Group6[[#This Row],[Team]])*(Fixtures[Away
Score]&lt;&gt;""))</f>
        <v>0</v>
      </c>
      <c r="H39" s="18">
        <f>SUMPRODUCT((Fixtures[Home
Team]=Group6[[#This Row],[Team]])*(Fixtures[Home
Score])+(Fixtures[Away
Team]=Group6[[#This Row],[Team]])*(Fixtures[Away
Score]))</f>
        <v>6</v>
      </c>
      <c r="I39" s="18">
        <f>SUMPRODUCT((Fixtures[Home
Team]=Group6[[#This Row],[Team]])*(Fixtures[Away
Score])+(Fixtures[Away
Team]=Group6[[#This Row],[Team]])*(Fixtures[Home
Score]))</f>
        <v>2</v>
      </c>
      <c r="J39" s="3">
        <f>$E39*Data!$B$2+$G39*Data!$B$3-Teams!$B33</f>
        <v>6</v>
      </c>
      <c r="K39" s="3">
        <f t="shared" ref="K39:K42" si="11">H39-I39</f>
        <v>4</v>
      </c>
      <c r="L39" s="3">
        <f>RANK(J39,Group6[Pts])</f>
        <v>1</v>
      </c>
      <c r="M39" s="3">
        <f>SUMPRODUCT((Group6[Pts]=J39)*(Group6[GD]&gt;K39))</f>
        <v>0</v>
      </c>
      <c r="N39" s="3">
        <f>SUMPRODUCT((Group6[Pts]=J39)*(Group6[GD]=K39)*(Group6[F]&gt;H39))</f>
        <v>0</v>
      </c>
    </row>
    <row r="40" spans="1:15" x14ac:dyDescent="0.2">
      <c r="A40" s="15">
        <f>IF(C40="","",RANK($B40,Group6[Rank],1)+COUNTIF($B$39:$B40,$B40)-1)</f>
        <v>3</v>
      </c>
      <c r="B40" s="3">
        <f t="shared" si="10"/>
        <v>3</v>
      </c>
      <c r="C40" s="15" t="str">
        <f>Teams!A33</f>
        <v>Colombia</v>
      </c>
      <c r="D40" s="18">
        <f>SUMPRODUCT((Fixtures[Home
Team]=Group6[[#This Row],[Team]])*(Fixtures[Home
Score]&lt;&gt;"")+(Fixtures[Away
Score]&lt;&gt;"")*(Fixtures[Away
Team]=Group6[[#This Row],[Team]]))</f>
        <v>3</v>
      </c>
      <c r="E40" s="18">
        <f>SUMPRODUCT((Fixtures[Home
Team]=Group6[[#This Row],[Team]])*(Fixtures[Home
Score]&gt;Fixtures[Away
Score])+(Fixtures[Away
Score]&gt;Fixtures[Home
Score])*(Fixtures[Away
Team]=Group6[[#This Row],[Team]]))</f>
        <v>1</v>
      </c>
      <c r="F40" s="18">
        <f>SUMPRODUCT((Fixtures[Home
Team]=Group6[[#This Row],[Team]])*(Fixtures[Home
Score]&lt;Fixtures[Away
Score])+(Fixtures[Away
Score]&lt;Fixtures[Home
Score])*(Fixtures[Away
Team]=Group6[[#This Row],[Team]]))</f>
        <v>1</v>
      </c>
      <c r="G40" s="18">
        <f>SUMPRODUCT((Fixtures[Home
Team]=Group6[[#This Row],[Team]])*(Fixtures[Home
Score]=Fixtures[Away
Score])*(Fixtures[Home
Score]&lt;&gt;"")+(Fixtures[Away
Score]=Fixtures[Home
Score])*(Fixtures[Away
Team]=Group6[[#This Row],[Team]])*(Fixtures[Away
Score]&lt;&gt;""))</f>
        <v>1</v>
      </c>
      <c r="H40" s="18">
        <f>SUMPRODUCT((Fixtures[Home
Team]=Group6[[#This Row],[Team]])*(Fixtures[Home
Score])+(Fixtures[Away
Team]=Group6[[#This Row],[Team]])*(Fixtures[Away
Score]))</f>
        <v>4</v>
      </c>
      <c r="I40" s="18">
        <f>SUMPRODUCT((Fixtures[Home
Team]=Group6[[#This Row],[Team]])*(Fixtures[Away
Score])+(Fixtures[Away
Team]=Group6[[#This Row],[Team]])*(Fixtures[Home
Score]))</f>
        <v>3</v>
      </c>
      <c r="J40" s="3">
        <f>$E40*Data!$B$2+$G40*Data!$B$3-Teams!$B34</f>
        <v>4</v>
      </c>
      <c r="K40" s="3">
        <f t="shared" si="11"/>
        <v>1</v>
      </c>
      <c r="L40" s="3">
        <f>RANK(J40,Group6[Pts])</f>
        <v>3</v>
      </c>
      <c r="M40" s="3">
        <f>SUMPRODUCT((Group6[Pts]=J40)*(Group6[GD]&gt;K40))</f>
        <v>0</v>
      </c>
      <c r="N40" s="3">
        <f>SUMPRODUCT((Group6[Pts]=J40)*(Group6[GD]=K40)*(Group6[F]&gt;H40))</f>
        <v>0</v>
      </c>
    </row>
    <row r="41" spans="1:15" x14ac:dyDescent="0.2">
      <c r="A41" s="15">
        <f>IF(C41="","",RANK($B41,Group6[Rank],1)+COUNTIF($B$39:$B41,$B41)-1)</f>
        <v>4</v>
      </c>
      <c r="B41" s="3">
        <f t="shared" si="10"/>
        <v>4</v>
      </c>
      <c r="C41" s="15" t="str">
        <f>Teams!A34</f>
        <v>Mexico</v>
      </c>
      <c r="D41" s="18">
        <f>SUMPRODUCT((Fixtures[Home
Team]=Group6[[#This Row],[Team]])*(Fixtures[Home
Score]&lt;&gt;"")+(Fixtures[Away
Score]&lt;&gt;"")*(Fixtures[Away
Team]=Group6[[#This Row],[Team]]))</f>
        <v>3</v>
      </c>
      <c r="E41" s="18">
        <f>SUMPRODUCT((Fixtures[Home
Team]=Group6[[#This Row],[Team]])*(Fixtures[Home
Score]&gt;Fixtures[Away
Score])+(Fixtures[Away
Score]&gt;Fixtures[Home
Score])*(Fixtures[Away
Team]=Group6[[#This Row],[Team]]))</f>
        <v>0</v>
      </c>
      <c r="F41" s="18">
        <f>SUMPRODUCT((Fixtures[Home
Team]=Group6[[#This Row],[Team]])*(Fixtures[Home
Score]&lt;Fixtures[Away
Score])+(Fixtures[Away
Score]&lt;Fixtures[Home
Score])*(Fixtures[Away
Team]=Group6[[#This Row],[Team]]))</f>
        <v>2</v>
      </c>
      <c r="G41" s="18">
        <f>SUMPRODUCT((Fixtures[Home
Team]=Group6[[#This Row],[Team]])*(Fixtures[Home
Score]=Fixtures[Away
Score])*(Fixtures[Home
Score]&lt;&gt;"")+(Fixtures[Away
Score]=Fixtures[Home
Score])*(Fixtures[Away
Team]=Group6[[#This Row],[Team]])*(Fixtures[Away
Score]&lt;&gt;""))</f>
        <v>1</v>
      </c>
      <c r="H41" s="18">
        <f>SUMPRODUCT((Fixtures[Home
Team]=Group6[[#This Row],[Team]])*(Fixtures[Home
Score])+(Fixtures[Away
Team]=Group6[[#This Row],[Team]])*(Fixtures[Away
Score]))</f>
        <v>2</v>
      </c>
      <c r="I41" s="18">
        <f>SUMPRODUCT((Fixtures[Home
Team]=Group6[[#This Row],[Team]])*(Fixtures[Away
Score])+(Fixtures[Away
Team]=Group6[[#This Row],[Team]])*(Fixtures[Home
Score]))</f>
        <v>8</v>
      </c>
      <c r="J41" s="3">
        <f>$E41*Data!$B$2+$G41*Data!$B$3-Teams!$B35</f>
        <v>1</v>
      </c>
      <c r="K41" s="3">
        <f t="shared" si="11"/>
        <v>-6</v>
      </c>
      <c r="L41" s="3">
        <f>RANK(J41,Group6[Pts])</f>
        <v>4</v>
      </c>
      <c r="M41" s="3">
        <f>SUMPRODUCT((Group6[Pts]=J41)*(Group6[GD]&gt;K41))</f>
        <v>0</v>
      </c>
      <c r="N41" s="3">
        <f>SUMPRODUCT((Group6[Pts]=J41)*(Group6[GD]=K41)*(Group6[F]&gt;H41))</f>
        <v>0</v>
      </c>
    </row>
    <row r="42" spans="1:15" ht="13.5" thickBot="1" x14ac:dyDescent="0.25">
      <c r="A42" s="15">
        <f>IF(C42="","",RANK($B42,Group6[Rank],1)+COUNTIF($B$39:$B42,$B42)-1)</f>
        <v>2</v>
      </c>
      <c r="B42" s="3">
        <f t="shared" si="10"/>
        <v>2</v>
      </c>
      <c r="C42" s="15" t="str">
        <f>Teams!A35</f>
        <v>England</v>
      </c>
      <c r="D42" s="18">
        <f>SUMPRODUCT((Fixtures[Home
Team]=Group6[[#This Row],[Team]])*(Fixtures[Home
Score]&lt;&gt;"")+(Fixtures[Away
Score]&lt;&gt;"")*(Fixtures[Away
Team]=Group6[[#This Row],[Team]]))</f>
        <v>3</v>
      </c>
      <c r="E42" s="18">
        <f>SUMPRODUCT((Fixtures[Home
Team]=Group6[[#This Row],[Team]])*(Fixtures[Home
Score]&gt;Fixtures[Away
Score])+(Fixtures[Away
Score]&gt;Fixtures[Home
Score])*(Fixtures[Away
Team]=Group6[[#This Row],[Team]]))</f>
        <v>2</v>
      </c>
      <c r="F42" s="18">
        <f>SUMPRODUCT((Fixtures[Home
Team]=Group6[[#This Row],[Team]])*(Fixtures[Home
Score]&lt;Fixtures[Away
Score])+(Fixtures[Away
Score]&lt;Fixtures[Home
Score])*(Fixtures[Away
Team]=Group6[[#This Row],[Team]]))</f>
        <v>1</v>
      </c>
      <c r="G42" s="18">
        <f>SUMPRODUCT((Fixtures[Home
Team]=Group6[[#This Row],[Team]])*(Fixtures[Home
Score]=Fixtures[Away
Score])*(Fixtures[Home
Score]&lt;&gt;"")+(Fixtures[Away
Score]=Fixtures[Home
Score])*(Fixtures[Away
Team]=Group6[[#This Row],[Team]])*(Fixtures[Away
Score]&lt;&gt;""))</f>
        <v>0</v>
      </c>
      <c r="H42" s="18">
        <f>SUMPRODUCT((Fixtures[Home
Team]=Group6[[#This Row],[Team]])*(Fixtures[Home
Score])+(Fixtures[Away
Team]=Group6[[#This Row],[Team]])*(Fixtures[Away
Score]))</f>
        <v>4</v>
      </c>
      <c r="I42" s="18">
        <f>SUMPRODUCT((Fixtures[Home
Team]=Group6[[#This Row],[Team]])*(Fixtures[Away
Score])+(Fixtures[Away
Team]=Group6[[#This Row],[Team]])*(Fixtures[Home
Score]))</f>
        <v>3</v>
      </c>
      <c r="J42" s="3">
        <f>$E42*Data!$B$2+$G42*Data!$B$3-Teams!$B36</f>
        <v>6</v>
      </c>
      <c r="K42" s="3">
        <f t="shared" si="11"/>
        <v>1</v>
      </c>
      <c r="L42" s="3">
        <f>RANK(J42,Group6[Pts])</f>
        <v>1</v>
      </c>
      <c r="M42" s="3">
        <f>SUMPRODUCT((Group6[Pts]=J42)*(Group6[GD]&gt;K42))</f>
        <v>1</v>
      </c>
      <c r="N42" s="3">
        <f>SUMPRODUCT((Group6[Pts]=J42)*(Group6[GD]=K42)*(Group6[F]&gt;H42))</f>
        <v>0</v>
      </c>
    </row>
    <row r="43" spans="1:15" ht="13.5" thickBot="1" x14ac:dyDescent="0.25">
      <c r="A43" s="74" t="s">
        <v>68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1:15" x14ac:dyDescent="0.2">
      <c r="A44" s="78" t="s">
        <v>25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</row>
    <row r="45" spans="1:15" x14ac:dyDescent="0.2">
      <c r="A45" s="2" t="s">
        <v>15</v>
      </c>
      <c r="B45" s="2" t="s">
        <v>0</v>
      </c>
      <c r="C45" s="2" t="s">
        <v>1</v>
      </c>
      <c r="D45" s="2" t="s">
        <v>2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7</v>
      </c>
      <c r="J45" s="2" t="s">
        <v>8</v>
      </c>
      <c r="K45" s="2" t="s">
        <v>9</v>
      </c>
      <c r="L45" s="2" t="s">
        <v>17</v>
      </c>
      <c r="M45" s="2" t="s">
        <v>18</v>
      </c>
      <c r="N45" s="2" t="s">
        <v>19</v>
      </c>
      <c r="O45" s="2" t="s">
        <v>88</v>
      </c>
    </row>
    <row r="46" spans="1:15" x14ac:dyDescent="0.2">
      <c r="A46" s="15">
        <f>IF(C46="","",RANK($B46,GroupThirdPlace[Rank],1)+COUNTIF($B$46:$B46,$B46)-1)</f>
        <v>2</v>
      </c>
      <c r="B46" s="3">
        <f t="shared" ref="B46:B49" si="12">L46+M46+N46</f>
        <v>2</v>
      </c>
      <c r="C46" s="15" t="str">
        <f>'Group League Tables'!B6</f>
        <v>Netherlands</v>
      </c>
      <c r="D46" s="15">
        <f>'Group League Tables'!C6</f>
        <v>3</v>
      </c>
      <c r="E46" s="15">
        <f>'Group League Tables'!D6</f>
        <v>1</v>
      </c>
      <c r="F46" s="15">
        <f>'Group League Tables'!E6</f>
        <v>1</v>
      </c>
      <c r="G46" s="15">
        <f>'Group League Tables'!F6</f>
        <v>1</v>
      </c>
      <c r="H46" s="15">
        <f>'Group League Tables'!G6</f>
        <v>2</v>
      </c>
      <c r="I46" s="15">
        <f>'Group League Tables'!H6</f>
        <v>2</v>
      </c>
      <c r="J46" s="15">
        <f>'Group League Tables'!I6</f>
        <v>4</v>
      </c>
      <c r="K46" s="15">
        <f>'Group League Tables'!J6</f>
        <v>0</v>
      </c>
      <c r="L46" s="3">
        <f>RANK(J46,GroupThirdPlace[Pts])</f>
        <v>1</v>
      </c>
      <c r="M46" s="3">
        <f>SUMPRODUCT((GroupThirdPlace[Pts]=J46)*(GroupThirdPlace[GD]&gt;K46))</f>
        <v>1</v>
      </c>
      <c r="N46" s="3">
        <f>SUMPRODUCT((GroupThirdPlace[Pts]=J46)*(GroupThirdPlace[GD]=K46)*(GroupThirdPlace[F]&gt;H46))</f>
        <v>0</v>
      </c>
      <c r="O46" s="3" t="s">
        <v>7</v>
      </c>
    </row>
    <row r="47" spans="1:15" x14ac:dyDescent="0.2">
      <c r="A47" s="15">
        <f>IF(C47="","",RANK($B47,GroupThirdPlace[Rank],1)+COUNTIF($B$46:$B47,$B47)-1)</f>
        <v>5</v>
      </c>
      <c r="B47" s="3">
        <f t="shared" si="12"/>
        <v>5</v>
      </c>
      <c r="C47" s="15" t="str">
        <f>'Group League Tables'!B13</f>
        <v>Thailand</v>
      </c>
      <c r="D47" s="15">
        <f>'Group League Tables'!C13</f>
        <v>3</v>
      </c>
      <c r="E47" s="15">
        <f>'Group League Tables'!D13</f>
        <v>1</v>
      </c>
      <c r="F47" s="15">
        <f>'Group League Tables'!E13</f>
        <v>2</v>
      </c>
      <c r="G47" s="15">
        <f>'Group League Tables'!F13</f>
        <v>0</v>
      </c>
      <c r="H47" s="15">
        <f>'Group League Tables'!G13</f>
        <v>3</v>
      </c>
      <c r="I47" s="15">
        <f>'Group League Tables'!H13</f>
        <v>10</v>
      </c>
      <c r="J47" s="15">
        <f>'Group League Tables'!I13</f>
        <v>3</v>
      </c>
      <c r="K47" s="15">
        <f>'Group League Tables'!J13</f>
        <v>-7</v>
      </c>
      <c r="L47" s="3">
        <f>RANK(J47,GroupThirdPlace[Pts])</f>
        <v>3</v>
      </c>
      <c r="M47" s="3">
        <f>SUMPRODUCT((GroupThirdPlace[Pts]=J47)*(GroupThirdPlace[GD]&gt;K47))</f>
        <v>2</v>
      </c>
      <c r="N47" s="3">
        <f>SUMPRODUCT((GroupThirdPlace[Pts]=J47)*(GroupThirdPlace[GD]=K47)*(GroupThirdPlace[F]&gt;H47))</f>
        <v>0</v>
      </c>
      <c r="O47" s="3" t="s">
        <v>87</v>
      </c>
    </row>
    <row r="48" spans="1:15" x14ac:dyDescent="0.2">
      <c r="A48" s="15">
        <f>IF(C48="","",RANK($B48,GroupThirdPlace[Rank],1)+COUNTIF($B$46:$B48,$B48)-1)</f>
        <v>3</v>
      </c>
      <c r="B48" s="3">
        <f t="shared" si="12"/>
        <v>3</v>
      </c>
      <c r="C48" s="15" t="str">
        <f>'Group League Tables'!B20</f>
        <v>Switzerland</v>
      </c>
      <c r="D48" s="15">
        <f>'Group League Tables'!C20</f>
        <v>3</v>
      </c>
      <c r="E48" s="15">
        <f>'Group League Tables'!D20</f>
        <v>1</v>
      </c>
      <c r="F48" s="15">
        <f>'Group League Tables'!E20</f>
        <v>2</v>
      </c>
      <c r="G48" s="15">
        <f>'Group League Tables'!F20</f>
        <v>0</v>
      </c>
      <c r="H48" s="15">
        <f>'Group League Tables'!G20</f>
        <v>11</v>
      </c>
      <c r="I48" s="15">
        <f>'Group League Tables'!H20</f>
        <v>4</v>
      </c>
      <c r="J48" s="15">
        <f>'Group League Tables'!I20</f>
        <v>3</v>
      </c>
      <c r="K48" s="15">
        <f>'Group League Tables'!J20</f>
        <v>7</v>
      </c>
      <c r="L48" s="3">
        <f>RANK(J48,GroupThirdPlace[Pts])</f>
        <v>3</v>
      </c>
      <c r="M48" s="3">
        <f>SUMPRODUCT((GroupThirdPlace[Pts]=J48)*(GroupThirdPlace[GD]&gt;K48))</f>
        <v>0</v>
      </c>
      <c r="N48" s="3">
        <f>SUMPRODUCT((GroupThirdPlace[Pts]=J48)*(GroupThirdPlace[GD]=K48)*(GroupThirdPlace[F]&gt;H48))</f>
        <v>0</v>
      </c>
      <c r="O48" s="3" t="s">
        <v>85</v>
      </c>
    </row>
    <row r="49" spans="1:15" x14ac:dyDescent="0.2">
      <c r="A49" s="15">
        <f>IF(C49="","",RANK($B49,GroupThirdPlace[Rank],1)+COUNTIF($B$46:$B49,$B49)-1)</f>
        <v>4</v>
      </c>
      <c r="B49" s="3">
        <f t="shared" si="12"/>
        <v>4</v>
      </c>
      <c r="C49" s="15" t="str">
        <f>'Group League Tables'!B27</f>
        <v>Sweden</v>
      </c>
      <c r="D49" s="15">
        <f>'Group League Tables'!C27</f>
        <v>3</v>
      </c>
      <c r="E49" s="15">
        <f>'Group League Tables'!D27</f>
        <v>0</v>
      </c>
      <c r="F49" s="15">
        <f>'Group League Tables'!E27</f>
        <v>0</v>
      </c>
      <c r="G49" s="15">
        <f>'Group League Tables'!F27</f>
        <v>3</v>
      </c>
      <c r="H49" s="15">
        <f>'Group League Tables'!G27</f>
        <v>4</v>
      </c>
      <c r="I49" s="15">
        <f>'Group League Tables'!H27</f>
        <v>4</v>
      </c>
      <c r="J49" s="15">
        <f>'Group League Tables'!I27</f>
        <v>3</v>
      </c>
      <c r="K49" s="15">
        <f>'Group League Tables'!J27</f>
        <v>0</v>
      </c>
      <c r="L49" s="3">
        <f>RANK(J49,GroupThirdPlace[Pts])</f>
        <v>3</v>
      </c>
      <c r="M49" s="3">
        <f>SUMPRODUCT((GroupThirdPlace[Pts]=J49)*(GroupThirdPlace[GD]&gt;K49))</f>
        <v>1</v>
      </c>
      <c r="N49" s="3">
        <f>SUMPRODUCT((GroupThirdPlace[Pts]=J49)*(GroupThirdPlace[GD]=K49)*(GroupThirdPlace[F]&gt;H49))</f>
        <v>0</v>
      </c>
      <c r="O49" s="3" t="s">
        <v>5</v>
      </c>
    </row>
    <row r="50" spans="1:15" x14ac:dyDescent="0.2">
      <c r="A50" s="29">
        <f>IF(C50="","",RANK($B50,GroupThirdPlace[Rank],1)+COUNTIF($B$46:$B50,$B50)-1)</f>
        <v>6</v>
      </c>
      <c r="B50" s="31">
        <f t="shared" ref="B50:B51" si="13">L50+M50+N50</f>
        <v>6</v>
      </c>
      <c r="C50" s="29" t="str">
        <f>'Group League Tables'!B34</f>
        <v>Spain</v>
      </c>
      <c r="D50" s="29">
        <f>'Group League Tables'!C34</f>
        <v>3</v>
      </c>
      <c r="E50" s="29">
        <f>'Group League Tables'!D34</f>
        <v>0</v>
      </c>
      <c r="F50" s="29">
        <f>'Group League Tables'!E34</f>
        <v>2</v>
      </c>
      <c r="G50" s="29">
        <f>'Group League Tables'!F34</f>
        <v>1</v>
      </c>
      <c r="H50" s="29">
        <f>'Group League Tables'!G34</f>
        <v>2</v>
      </c>
      <c r="I50" s="29">
        <f>'Group League Tables'!H34</f>
        <v>4</v>
      </c>
      <c r="J50" s="29">
        <f>'Group League Tables'!I34</f>
        <v>1</v>
      </c>
      <c r="K50" s="29">
        <f>'Group League Tables'!J34</f>
        <v>-2</v>
      </c>
      <c r="L50" s="30">
        <f>RANK(J50,GroupThirdPlace[Pts])</f>
        <v>6</v>
      </c>
      <c r="M50" s="31">
        <f>SUMPRODUCT((GroupThirdPlace[Pts]=J50)*(GroupThirdPlace[GD]&gt;K50))</f>
        <v>0</v>
      </c>
      <c r="N50" s="31">
        <f>SUMPRODUCT((GroupThirdPlace[Pts]=J50)*(GroupThirdPlace[GD]=K50)*(GroupThirdPlace[F]&gt;H50))</f>
        <v>0</v>
      </c>
      <c r="O50" s="3" t="s">
        <v>86</v>
      </c>
    </row>
    <row r="51" spans="1:15" x14ac:dyDescent="0.2">
      <c r="A51" s="29">
        <f>IF(C51="","",RANK($B51,GroupThirdPlace[Rank],1)+COUNTIF($B$46:$B51,$B51)-1)</f>
        <v>1</v>
      </c>
      <c r="B51" s="31">
        <f t="shared" si="13"/>
        <v>1</v>
      </c>
      <c r="C51" s="29" t="str">
        <f>'Group League Tables'!B41</f>
        <v>Colombia</v>
      </c>
      <c r="D51" s="29">
        <f>'Group League Tables'!C41</f>
        <v>3</v>
      </c>
      <c r="E51" s="29">
        <f>'Group League Tables'!D41</f>
        <v>1</v>
      </c>
      <c r="F51" s="29">
        <f>'Group League Tables'!E41</f>
        <v>1</v>
      </c>
      <c r="G51" s="29">
        <f>'Group League Tables'!F41</f>
        <v>1</v>
      </c>
      <c r="H51" s="29">
        <f>'Group League Tables'!G41</f>
        <v>4</v>
      </c>
      <c r="I51" s="29">
        <f>'Group League Tables'!H41</f>
        <v>3</v>
      </c>
      <c r="J51" s="29">
        <f>'Group League Tables'!I41</f>
        <v>4</v>
      </c>
      <c r="K51" s="29">
        <f>'Group League Tables'!J41</f>
        <v>1</v>
      </c>
      <c r="L51" s="30">
        <f>RANK(J51,GroupThirdPlace[Pts])</f>
        <v>1</v>
      </c>
      <c r="M51" s="31">
        <f>SUMPRODUCT((GroupThirdPlace[Pts]=J51)*(GroupThirdPlace[GD]&gt;K51))</f>
        <v>0</v>
      </c>
      <c r="N51" s="31">
        <f>SUMPRODUCT((GroupThirdPlace[Pts]=J51)*(GroupThirdPlace[GD]=K51)*(GroupThirdPlace[F]&gt;H51))</f>
        <v>0</v>
      </c>
      <c r="O51" s="3" t="s">
        <v>6</v>
      </c>
    </row>
  </sheetData>
  <mergeCells count="14">
    <mergeCell ref="A43:N43"/>
    <mergeCell ref="A44:N44"/>
    <mergeCell ref="A36:N36"/>
    <mergeCell ref="A37:N37"/>
    <mergeCell ref="A30:N30"/>
    <mergeCell ref="A1:N1"/>
    <mergeCell ref="A8:N8"/>
    <mergeCell ref="A15:N15"/>
    <mergeCell ref="A22:N22"/>
    <mergeCell ref="A29:N29"/>
    <mergeCell ref="A2:N2"/>
    <mergeCell ref="A9:N9"/>
    <mergeCell ref="A16:N16"/>
    <mergeCell ref="A23:N23"/>
  </mergeCells>
  <pageMargins left="0.7" right="0.7" top="0.75" bottom="0.75" header="0.3" footer="0.3"/>
  <pageSetup paperSize="9" orientation="portrait" r:id="rId1"/>
  <ignoredErrors>
    <ignoredError sqref="M4:N4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2" sqref="I2"/>
    </sheetView>
  </sheetViews>
  <sheetFormatPr defaultRowHeight="15" x14ac:dyDescent="0.25"/>
  <cols>
    <col min="1" max="1" width="13.42578125" customWidth="1"/>
    <col min="6" max="6" width="13.140625" customWidth="1"/>
  </cols>
  <sheetData>
    <row r="1" spans="1:12" ht="30" x14ac:dyDescent="0.25">
      <c r="A1" s="32" t="s">
        <v>84</v>
      </c>
      <c r="B1" s="32" t="s">
        <v>91</v>
      </c>
      <c r="C1" s="32" t="s">
        <v>92</v>
      </c>
      <c r="D1" s="32" t="s">
        <v>93</v>
      </c>
      <c r="E1" s="32" t="s">
        <v>94</v>
      </c>
      <c r="F1" s="39" t="s">
        <v>90</v>
      </c>
      <c r="I1" s="32" t="s">
        <v>91</v>
      </c>
      <c r="J1" s="32" t="s">
        <v>92</v>
      </c>
      <c r="K1" s="32" t="s">
        <v>93</v>
      </c>
      <c r="L1" s="32" t="s">
        <v>94</v>
      </c>
    </row>
    <row r="2" spans="1:12" x14ac:dyDescent="0.25">
      <c r="A2" s="33" t="s">
        <v>69</v>
      </c>
      <c r="B2" s="34" t="s">
        <v>85</v>
      </c>
      <c r="C2" s="34" t="s">
        <v>5</v>
      </c>
      <c r="D2" s="34" t="s">
        <v>7</v>
      </c>
      <c r="E2" s="34" t="s">
        <v>87</v>
      </c>
      <c r="F2" t="str">
        <f t="shared" ref="F2:F10" si="0">IF(AND(NOT(ISERROR(FIND(B$18,A2))),NOT(ISERROR(FIND(C$18,A2))),NOT(ISERROR(FIND(D$18,A2))),NOT(ISERROR(FIND(E$18,A2)))),"Yes","")</f>
        <v/>
      </c>
      <c r="I2" s="42" t="str">
        <f>INDEX(B2:B16,MATCH("Yes",$F$2:$F$16,0))</f>
        <v>C</v>
      </c>
      <c r="J2" s="42" t="str">
        <f t="shared" ref="J2:L2" si="1">INDEX(C2:C16,MATCH("Yes",$F$2:$F$16,0))</f>
        <v>D</v>
      </c>
      <c r="K2" s="42" t="str">
        <f t="shared" si="1"/>
        <v>A</v>
      </c>
      <c r="L2" s="42" t="str">
        <f t="shared" si="1"/>
        <v>F</v>
      </c>
    </row>
    <row r="3" spans="1:12" x14ac:dyDescent="0.25">
      <c r="A3" s="33" t="s">
        <v>70</v>
      </c>
      <c r="B3" s="34" t="s">
        <v>85</v>
      </c>
      <c r="C3" s="34" t="s">
        <v>7</v>
      </c>
      <c r="D3" s="34" t="s">
        <v>87</v>
      </c>
      <c r="E3" s="34" t="s">
        <v>86</v>
      </c>
      <c r="F3" t="str">
        <f t="shared" si="0"/>
        <v/>
      </c>
    </row>
    <row r="4" spans="1:12" x14ac:dyDescent="0.25">
      <c r="A4" s="33" t="s">
        <v>71</v>
      </c>
      <c r="B4" s="34" t="s">
        <v>85</v>
      </c>
      <c r="C4" s="34" t="s">
        <v>7</v>
      </c>
      <c r="D4" s="34" t="s">
        <v>87</v>
      </c>
      <c r="E4" s="34" t="s">
        <v>6</v>
      </c>
      <c r="F4" t="str">
        <f t="shared" si="0"/>
        <v/>
      </c>
    </row>
    <row r="5" spans="1:12" x14ac:dyDescent="0.25">
      <c r="A5" s="33" t="s">
        <v>72</v>
      </c>
      <c r="B5" s="34" t="s">
        <v>5</v>
      </c>
      <c r="C5" s="34" t="s">
        <v>7</v>
      </c>
      <c r="D5" s="34" t="s">
        <v>87</v>
      </c>
      <c r="E5" s="34" t="s">
        <v>86</v>
      </c>
      <c r="F5" t="str">
        <f t="shared" si="0"/>
        <v/>
      </c>
    </row>
    <row r="6" spans="1:12" x14ac:dyDescent="0.25">
      <c r="A6" s="33" t="s">
        <v>73</v>
      </c>
      <c r="B6" s="34" t="s">
        <v>5</v>
      </c>
      <c r="C6" s="34" t="s">
        <v>7</v>
      </c>
      <c r="D6" s="34" t="s">
        <v>87</v>
      </c>
      <c r="E6" s="34" t="s">
        <v>6</v>
      </c>
      <c r="F6" t="str">
        <f t="shared" si="0"/>
        <v/>
      </c>
    </row>
    <row r="7" spans="1:12" x14ac:dyDescent="0.25">
      <c r="A7" s="33" t="s">
        <v>74</v>
      </c>
      <c r="B7" s="34" t="s">
        <v>86</v>
      </c>
      <c r="C7" s="34" t="s">
        <v>7</v>
      </c>
      <c r="D7" s="34" t="s">
        <v>87</v>
      </c>
      <c r="E7" s="34" t="s">
        <v>6</v>
      </c>
      <c r="F7" t="str">
        <f t="shared" si="0"/>
        <v/>
      </c>
    </row>
    <row r="8" spans="1:12" x14ac:dyDescent="0.25">
      <c r="A8" s="33" t="s">
        <v>75</v>
      </c>
      <c r="B8" s="34" t="s">
        <v>85</v>
      </c>
      <c r="C8" s="34" t="s">
        <v>5</v>
      </c>
      <c r="D8" s="34" t="s">
        <v>7</v>
      </c>
      <c r="E8" s="34" t="s">
        <v>86</v>
      </c>
      <c r="F8" t="str">
        <f t="shared" si="0"/>
        <v/>
      </c>
    </row>
    <row r="9" spans="1:12" x14ac:dyDescent="0.25">
      <c r="A9" s="33" t="s">
        <v>76</v>
      </c>
      <c r="B9" s="34" t="s">
        <v>85</v>
      </c>
      <c r="C9" s="34" t="s">
        <v>5</v>
      </c>
      <c r="D9" s="34" t="s">
        <v>7</v>
      </c>
      <c r="E9" s="34" t="s">
        <v>6</v>
      </c>
      <c r="F9" t="str">
        <f t="shared" si="0"/>
        <v>Yes</v>
      </c>
    </row>
    <row r="10" spans="1:12" x14ac:dyDescent="0.25">
      <c r="A10" s="33" t="s">
        <v>77</v>
      </c>
      <c r="B10" s="34" t="s">
        <v>85</v>
      </c>
      <c r="C10" s="34" t="s">
        <v>7</v>
      </c>
      <c r="D10" s="34" t="s">
        <v>6</v>
      </c>
      <c r="E10" s="34" t="s">
        <v>86</v>
      </c>
      <c r="F10" t="str">
        <f t="shared" si="0"/>
        <v/>
      </c>
    </row>
    <row r="11" spans="1:12" x14ac:dyDescent="0.25">
      <c r="A11" s="33" t="s">
        <v>78</v>
      </c>
      <c r="B11" s="34" t="s">
        <v>5</v>
      </c>
      <c r="C11" s="34" t="s">
        <v>7</v>
      </c>
      <c r="D11" s="34" t="s">
        <v>6</v>
      </c>
      <c r="E11" s="34" t="s">
        <v>86</v>
      </c>
      <c r="F11" t="str">
        <f>IF(AND(NOT(ISERROR(FIND(B$18,A11))),NOT(ISERROR(FIND(C$18,A11))),NOT(ISERROR(FIND(D$18,A11))),NOT(ISERROR(FIND(E$18,A11)))),"Yes","")</f>
        <v/>
      </c>
    </row>
    <row r="12" spans="1:12" x14ac:dyDescent="0.25">
      <c r="A12" s="33" t="s">
        <v>79</v>
      </c>
      <c r="B12" s="34" t="s">
        <v>85</v>
      </c>
      <c r="C12" s="34" t="s">
        <v>5</v>
      </c>
      <c r="D12" s="34" t="s">
        <v>87</v>
      </c>
      <c r="E12" s="34" t="s">
        <v>86</v>
      </c>
      <c r="F12" t="str">
        <f t="shared" ref="F12:F16" si="2">IF(AND(NOT(ISERROR(FIND(B$18,A12))),NOT(ISERROR(FIND(C$18,A12))),NOT(ISERROR(FIND(D$18,A12))),NOT(ISERROR(FIND(E$18,A12)))),"Yes","")</f>
        <v/>
      </c>
    </row>
    <row r="13" spans="1:12" x14ac:dyDescent="0.25">
      <c r="A13" s="33" t="s">
        <v>80</v>
      </c>
      <c r="B13" s="34" t="s">
        <v>85</v>
      </c>
      <c r="C13" s="34" t="s">
        <v>5</v>
      </c>
      <c r="D13" s="34" t="s">
        <v>87</v>
      </c>
      <c r="E13" s="34" t="s">
        <v>6</v>
      </c>
      <c r="F13" t="str">
        <f t="shared" si="2"/>
        <v/>
      </c>
    </row>
    <row r="14" spans="1:12" x14ac:dyDescent="0.25">
      <c r="A14" s="33" t="s">
        <v>81</v>
      </c>
      <c r="B14" s="34" t="s">
        <v>86</v>
      </c>
      <c r="C14" s="34" t="s">
        <v>85</v>
      </c>
      <c r="D14" s="34" t="s">
        <v>87</v>
      </c>
      <c r="E14" s="34" t="s">
        <v>6</v>
      </c>
      <c r="F14" t="str">
        <f t="shared" si="2"/>
        <v/>
      </c>
    </row>
    <row r="15" spans="1:12" x14ac:dyDescent="0.25">
      <c r="A15" s="33" t="s">
        <v>82</v>
      </c>
      <c r="B15" s="34" t="s">
        <v>86</v>
      </c>
      <c r="C15" s="34" t="s">
        <v>5</v>
      </c>
      <c r="D15" s="34" t="s">
        <v>87</v>
      </c>
      <c r="E15" s="34" t="s">
        <v>6</v>
      </c>
      <c r="F15" t="str">
        <f t="shared" si="2"/>
        <v/>
      </c>
    </row>
    <row r="16" spans="1:12" x14ac:dyDescent="0.25">
      <c r="A16" s="33" t="s">
        <v>83</v>
      </c>
      <c r="B16" s="34" t="s">
        <v>85</v>
      </c>
      <c r="C16" s="34" t="s">
        <v>5</v>
      </c>
      <c r="D16" s="34" t="s">
        <v>6</v>
      </c>
      <c r="E16" s="34" t="s">
        <v>86</v>
      </c>
      <c r="F16" t="str">
        <f t="shared" si="2"/>
        <v/>
      </c>
    </row>
    <row r="18" spans="1:5" x14ac:dyDescent="0.25">
      <c r="A18" s="40" t="s">
        <v>89</v>
      </c>
      <c r="B18" s="41" t="str">
        <f>'Group League Tables'!K46</f>
        <v>F</v>
      </c>
      <c r="C18" s="41" t="str">
        <f>'Group League Tables'!K47</f>
        <v>A</v>
      </c>
      <c r="D18" s="41" t="str">
        <f>'Group League Tables'!K48</f>
        <v>C</v>
      </c>
      <c r="E18" s="41" t="str">
        <f>'Group League Tables'!K49</f>
        <v>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1"/>
  <sheetViews>
    <sheetView tabSelected="1" topLeftCell="A30" workbookViewId="0">
      <selection activeCell="H54" sqref="H54"/>
    </sheetView>
  </sheetViews>
  <sheetFormatPr defaultRowHeight="12.75" x14ac:dyDescent="0.2"/>
  <cols>
    <col min="1" max="1" width="9.5703125" style="10" customWidth="1"/>
    <col min="2" max="2" width="17.5703125" style="3" bestFit="1" customWidth="1"/>
    <col min="3" max="10" width="9.140625" style="3"/>
    <col min="11" max="11" width="9.140625" style="12"/>
    <col min="12" max="16384" width="9.140625" style="3"/>
  </cols>
  <sheetData>
    <row r="1" spans="1:10" ht="13.5" thickBot="1" x14ac:dyDescent="0.25">
      <c r="A1" s="79" t="s">
        <v>60</v>
      </c>
      <c r="B1" s="80"/>
      <c r="C1" s="80"/>
      <c r="D1" s="80"/>
      <c r="E1" s="80"/>
      <c r="F1" s="80"/>
      <c r="G1" s="80"/>
      <c r="H1" s="80"/>
      <c r="I1" s="80"/>
      <c r="J1" s="81"/>
    </row>
    <row r="2" spans="1:10" x14ac:dyDescent="0.2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x14ac:dyDescent="0.2">
      <c r="A3" s="13" t="s">
        <v>11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">
      <c r="A4" s="11">
        <v>1</v>
      </c>
      <c r="B4" s="15" t="str">
        <f>VLOOKUP(SMALL(Group1[Rank Ties],League_TableA[[#This Row],[Position]]),Group1[],3,FALSE)</f>
        <v>Canada</v>
      </c>
      <c r="C4" s="16">
        <f>VLOOKUP(MIN(Group1[Rank Ties]),Group1[],4,FALSE)</f>
        <v>3</v>
      </c>
      <c r="D4" s="16">
        <f>VLOOKUP(MIN(Group1[Rank Ties]),Group1[],5,FALSE)</f>
        <v>1</v>
      </c>
      <c r="E4" s="16">
        <f>VLOOKUP(MIN(Group1[Rank Ties]),Group1[],6,FALSE)</f>
        <v>0</v>
      </c>
      <c r="F4" s="16">
        <f>VLOOKUP(MIN(Group1[Rank Ties]),Group1[],7,FALSE)</f>
        <v>2</v>
      </c>
      <c r="G4" s="16">
        <f>IFERROR(VLOOKUP(MIN(Group1[Rank Ties]),Group1[],8,FALSE),0)</f>
        <v>2</v>
      </c>
      <c r="H4" s="16">
        <f>IFERROR(VLOOKUP(MIN(Group1[Rank Ties]),Group1[],9,FALSE),0)</f>
        <v>1</v>
      </c>
      <c r="I4" s="16">
        <f>IFERROR(VLOOKUP(MIN(Group1[Rank Ties]),Group1[],10,FALSE),0)</f>
        <v>5</v>
      </c>
      <c r="J4" s="17">
        <f t="shared" ref="J4:J7" si="0">G4-H4</f>
        <v>1</v>
      </c>
    </row>
    <row r="5" spans="1:10" x14ac:dyDescent="0.2">
      <c r="A5" s="11">
        <v>2</v>
      </c>
      <c r="B5" s="15" t="str">
        <f>VLOOKUP(SMALL(Group1[Rank Ties],League_TableA[[#This Row],[Position]]),Group1[],3,FALSE)</f>
        <v>China</v>
      </c>
      <c r="C5" s="9">
        <f>VLOOKUP(SMALL(Group1[Rank Ties],League_TableA[[#This Row],[Position]]),Group1[],4,FALSE)</f>
        <v>3</v>
      </c>
      <c r="D5" s="9">
        <f>VLOOKUP(SMALL(Group1[Rank Ties],League_TableA[[#This Row],[Position]]),Group1[],5,FALSE)</f>
        <v>1</v>
      </c>
      <c r="E5" s="9">
        <f>VLOOKUP(SMALL(Group1[Rank Ties],League_TableA[[#This Row],[Position]]),Group1[],6,FALSE)</f>
        <v>1</v>
      </c>
      <c r="F5" s="9">
        <f>VLOOKUP(SMALL(Group1[Rank Ties],League_TableA[[#This Row],[Position]]),Group1[],7,FALSE)</f>
        <v>1</v>
      </c>
      <c r="G5" s="9">
        <f>IFERROR(VLOOKUP(SMALL(Group1[Rank Ties],League_TableA[[#This Row],[Position]]),Group1[],8,FALSE),0)</f>
        <v>3</v>
      </c>
      <c r="H5" s="9">
        <f>IFERROR(VLOOKUP(SMALL(Group1[Rank Ties],League_TableA[[#This Row],[Position]]),Group1[],9,FALSE),0)</f>
        <v>3</v>
      </c>
      <c r="I5" s="9">
        <f>IFERROR(VLOOKUP(SMALL(Group1[Rank Ties],League_TableA[[#This Row],[Position]]),Group1[],10,FALSE),0)</f>
        <v>4</v>
      </c>
      <c r="J5" s="17">
        <f t="shared" si="0"/>
        <v>0</v>
      </c>
    </row>
    <row r="6" spans="1:10" x14ac:dyDescent="0.2">
      <c r="A6" s="11">
        <v>3</v>
      </c>
      <c r="B6" s="15" t="str">
        <f>VLOOKUP(SMALL(Group1[Rank Ties],League_TableA[[#This Row],[Position]]),Group1[],3,FALSE)</f>
        <v>Netherlands</v>
      </c>
      <c r="C6" s="9">
        <f>VLOOKUP(SMALL(Group1[Rank Ties],League_TableA[[#This Row],[Position]]),Group1[],4,FALSE)</f>
        <v>3</v>
      </c>
      <c r="D6" s="9">
        <f>VLOOKUP(SMALL(Group1[Rank Ties],League_TableA[[#This Row],[Position]]),Group1[],5,FALSE)</f>
        <v>1</v>
      </c>
      <c r="E6" s="9">
        <f>VLOOKUP(SMALL(Group1[Rank Ties],League_TableA[[#This Row],[Position]]),Group1[],6,FALSE)</f>
        <v>1</v>
      </c>
      <c r="F6" s="9">
        <f>VLOOKUP(SMALL(Group1[Rank Ties],League_TableA[[#This Row],[Position]]),Group1[],7,FALSE)</f>
        <v>1</v>
      </c>
      <c r="G6" s="9">
        <f>IFERROR(VLOOKUP(SMALL(Group1[Rank Ties],League_TableA[[#This Row],[Position]]),Group1[],8,FALSE),0)</f>
        <v>2</v>
      </c>
      <c r="H6" s="9">
        <f>IFERROR(VLOOKUP(SMALL(Group1[Rank Ties],League_TableA[[#This Row],[Position]]),Group1[],9,FALSE),0)</f>
        <v>2</v>
      </c>
      <c r="I6" s="9">
        <f>IFERROR(VLOOKUP(SMALL(Group1[Rank Ties],League_TableA[[#This Row],[Position]]),Group1[],10,FALSE),0)</f>
        <v>4</v>
      </c>
      <c r="J6" s="17">
        <f t="shared" si="0"/>
        <v>0</v>
      </c>
    </row>
    <row r="7" spans="1:10" ht="13.5" thickBot="1" x14ac:dyDescent="0.25">
      <c r="A7" s="11">
        <v>4</v>
      </c>
      <c r="B7" s="15" t="str">
        <f>VLOOKUP(SMALL(Group1[Rank Ties],League_TableA[[#This Row],[Position]]),Group1[],3,FALSE)</f>
        <v>New Zealand</v>
      </c>
      <c r="C7" s="9">
        <f>VLOOKUP(SMALL(Group1[Rank Ties],League_TableA[[#This Row],[Position]]),Group1[],4,FALSE)</f>
        <v>3</v>
      </c>
      <c r="D7" s="9">
        <f>VLOOKUP(SMALL(Group1[Rank Ties],League_TableA[[#This Row],[Position]]),Group1[],5,FALSE)</f>
        <v>0</v>
      </c>
      <c r="E7" s="9">
        <f>VLOOKUP(SMALL(Group1[Rank Ties],League_TableA[[#This Row],[Position]]),Group1[],6,FALSE)</f>
        <v>1</v>
      </c>
      <c r="F7" s="9">
        <f>VLOOKUP(SMALL(Group1[Rank Ties],League_TableA[[#This Row],[Position]]),Group1[],7,FALSE)</f>
        <v>2</v>
      </c>
      <c r="G7" s="9">
        <f>IFERROR(VLOOKUP(SMALL(Group1[Rank Ties],League_TableA[[#This Row],[Position]]),Group1[],8,FALSE),0)</f>
        <v>2</v>
      </c>
      <c r="H7" s="9">
        <f>IFERROR(VLOOKUP(SMALL(Group1[Rank Ties],League_TableA[[#This Row],[Position]]),Group1[],9,FALSE),0)</f>
        <v>3</v>
      </c>
      <c r="I7" s="9">
        <f>IFERROR(VLOOKUP(SMALL(Group1[Rank Ties],League_TableA[[#This Row],[Position]]),Group1[],10,FALSE),0)</f>
        <v>2</v>
      </c>
      <c r="J7" s="17">
        <f t="shared" si="0"/>
        <v>-1</v>
      </c>
    </row>
    <row r="8" spans="1:10" ht="13.5" thickBot="1" x14ac:dyDescent="0.25">
      <c r="A8" s="79" t="s">
        <v>61</v>
      </c>
      <c r="B8" s="80"/>
      <c r="C8" s="80"/>
      <c r="D8" s="80"/>
      <c r="E8" s="80"/>
      <c r="F8" s="80"/>
      <c r="G8" s="80"/>
      <c r="H8" s="80"/>
      <c r="I8" s="80"/>
      <c r="J8" s="81"/>
    </row>
    <row r="9" spans="1:10" x14ac:dyDescent="0.2">
      <c r="A9" s="88" t="s">
        <v>26</v>
      </c>
      <c r="B9" s="89"/>
      <c r="C9" s="89"/>
      <c r="D9" s="89"/>
      <c r="E9" s="89"/>
      <c r="F9" s="89"/>
      <c r="G9" s="89"/>
      <c r="H9" s="89"/>
      <c r="I9" s="89"/>
      <c r="J9" s="90"/>
    </row>
    <row r="10" spans="1:10" ht="13.5" thickBot="1" x14ac:dyDescent="0.25">
      <c r="A10" s="63" t="s">
        <v>11</v>
      </c>
      <c r="B10" s="64" t="s">
        <v>1</v>
      </c>
      <c r="C10" s="64" t="s">
        <v>2</v>
      </c>
      <c r="D10" s="64" t="s">
        <v>3</v>
      </c>
      <c r="E10" s="64" t="s">
        <v>4</v>
      </c>
      <c r="F10" s="64" t="s">
        <v>5</v>
      </c>
      <c r="G10" s="64" t="s">
        <v>6</v>
      </c>
      <c r="H10" s="64" t="s">
        <v>7</v>
      </c>
      <c r="I10" s="64" t="s">
        <v>8</v>
      </c>
      <c r="J10" s="64" t="s">
        <v>9</v>
      </c>
    </row>
    <row r="11" spans="1:10" ht="13.5" thickTop="1" x14ac:dyDescent="0.2">
      <c r="A11" s="58">
        <v>1</v>
      </c>
      <c r="B11" s="53" t="str">
        <f>VLOOKUP(SMALL(Group2[Rank Ties],League_TableB[[#This Row],[Position]]),Group2[],3,FALSE)</f>
        <v>Germany</v>
      </c>
      <c r="C11" s="54">
        <f>VLOOKUP(MIN(Group2[Rank Ties]),Group2[],4,FALSE)</f>
        <v>3</v>
      </c>
      <c r="D11" s="54">
        <f>VLOOKUP(MIN(Group2[Rank Ties]),Group2[],5,FALSE)</f>
        <v>2</v>
      </c>
      <c r="E11" s="54">
        <f>VLOOKUP(MIN(Group2[Rank Ties]),Group2[],6,FALSE)</f>
        <v>0</v>
      </c>
      <c r="F11" s="54">
        <f>VLOOKUP(MIN(Group2[Rank Ties]),Group2[],7,FALSE)</f>
        <v>1</v>
      </c>
      <c r="G11" s="54">
        <f>IFERROR(VLOOKUP(MIN(Group2[Rank Ties]),Group2[],8,FALSE),0)</f>
        <v>15</v>
      </c>
      <c r="H11" s="54">
        <f>IFERROR(VLOOKUP(MIN(Group2[Rank Ties]),Group2[],9,FALSE),0)</f>
        <v>1</v>
      </c>
      <c r="I11" s="54">
        <f>IFERROR(VLOOKUP(MIN(Group2[Rank Ties]),Group2[],10,FALSE),0)</f>
        <v>7</v>
      </c>
      <c r="J11" s="61">
        <f t="shared" ref="J11:J14" si="1">G11-H11</f>
        <v>14</v>
      </c>
    </row>
    <row r="12" spans="1:10" x14ac:dyDescent="0.2">
      <c r="A12" s="59">
        <v>2</v>
      </c>
      <c r="B12" s="55" t="str">
        <f>VLOOKUP(SMALL(Group2[Rank Ties],League_TableB[[#This Row],[Position]]),Group2[],3,FALSE)</f>
        <v>Norway</v>
      </c>
      <c r="C12" s="51">
        <f>VLOOKUP(SMALL(Group2[Rank Ties],'Group League Tables'!$A12),Group2[],4,FALSE)</f>
        <v>3</v>
      </c>
      <c r="D12" s="51">
        <f>VLOOKUP(SMALL(Group2[Rank Ties],'Group League Tables'!$A12),Group2[],5,FALSE)</f>
        <v>2</v>
      </c>
      <c r="E12" s="51">
        <f>VLOOKUP(SMALL(Group2[Rank Ties],'Group League Tables'!$A12),Group2[],6,FALSE)</f>
        <v>0</v>
      </c>
      <c r="F12" s="51">
        <f>VLOOKUP(SMALL(Group2[Rank Ties],'Group League Tables'!$A12),Group2[],7,FALSE)</f>
        <v>1</v>
      </c>
      <c r="G12" s="51">
        <f>IFERROR(VLOOKUP(SMALL(Group2[Rank Ties],'Group League Tables'!$A12),Group2[],8,FALSE),0)</f>
        <v>8</v>
      </c>
      <c r="H12" s="51">
        <f>IFERROR(VLOOKUP(SMALL(Group2[Rank Ties],'Group League Tables'!$A12),Group2[],9,FALSE),0)</f>
        <v>2</v>
      </c>
      <c r="I12" s="51">
        <f>IFERROR(VLOOKUP(SMALL(Group2[Rank Ties],'Group League Tables'!$A12),Group2[],10,FALSE),0)</f>
        <v>7</v>
      </c>
      <c r="J12" s="52">
        <f t="shared" si="1"/>
        <v>6</v>
      </c>
    </row>
    <row r="13" spans="1:10" x14ac:dyDescent="0.2">
      <c r="A13" s="60">
        <v>3</v>
      </c>
      <c r="B13" s="56" t="str">
        <f>VLOOKUP(SMALL(Group2[Rank Ties],League_TableB[[#This Row],[Position]]),Group2[],3,FALSE)</f>
        <v>Thailand</v>
      </c>
      <c r="C13" s="57">
        <f>VLOOKUP(SMALL(Group2[Rank Ties],'Group League Tables'!$A13),Group2[],4,FALSE)</f>
        <v>3</v>
      </c>
      <c r="D13" s="57">
        <f>VLOOKUP(SMALL(Group2[Rank Ties],'Group League Tables'!$A13),Group2[],5,FALSE)</f>
        <v>1</v>
      </c>
      <c r="E13" s="57">
        <f>VLOOKUP(SMALL(Group2[Rank Ties],'Group League Tables'!$A13),Group2[],6,FALSE)</f>
        <v>2</v>
      </c>
      <c r="F13" s="57">
        <f>VLOOKUP(SMALL(Group2[Rank Ties],'Group League Tables'!$A13),Group2[],7,FALSE)</f>
        <v>0</v>
      </c>
      <c r="G13" s="57">
        <f>IFERROR(VLOOKUP(SMALL(Group2[Rank Ties],'Group League Tables'!$A13),Group2[],8,FALSE),0)</f>
        <v>3</v>
      </c>
      <c r="H13" s="57">
        <f>IFERROR(VLOOKUP(SMALL(Group2[Rank Ties],'Group League Tables'!$A13),Group2[],9,FALSE),0)</f>
        <v>10</v>
      </c>
      <c r="I13" s="57">
        <f>IFERROR(VLOOKUP(SMALL(Group2[Rank Ties],'Group League Tables'!$A13),Group2[],10,FALSE),0)</f>
        <v>3</v>
      </c>
      <c r="J13" s="62">
        <f t="shared" si="1"/>
        <v>-7</v>
      </c>
    </row>
    <row r="14" spans="1:10" ht="13.5" thickBot="1" x14ac:dyDescent="0.25">
      <c r="A14" s="59">
        <v>4</v>
      </c>
      <c r="B14" s="55" t="str">
        <f>VLOOKUP(SMALL(Group2[Rank Ties],League_TableB[[#This Row],[Position]]),Group2[],3,FALSE)</f>
        <v>Cote D'Ivoire</v>
      </c>
      <c r="C14" s="51">
        <f>VLOOKUP(SMALL(Group2[Rank Ties],'Group League Tables'!$A14),Group2[],4,FALSE)</f>
        <v>3</v>
      </c>
      <c r="D14" s="51">
        <f>VLOOKUP(SMALL(Group2[Rank Ties],'Group League Tables'!$A14),Group2[],5,FALSE)</f>
        <v>0</v>
      </c>
      <c r="E14" s="51">
        <f>VLOOKUP(SMALL(Group2[Rank Ties],'Group League Tables'!$A14),Group2[],6,FALSE)</f>
        <v>3</v>
      </c>
      <c r="F14" s="51">
        <f>VLOOKUP(SMALL(Group2[Rank Ties],'Group League Tables'!$A14),Group2[],7,FALSE)</f>
        <v>0</v>
      </c>
      <c r="G14" s="51">
        <f>IFERROR(VLOOKUP(SMALL(Group2[Rank Ties],'Group League Tables'!$A14),Group2[],8,FALSE),0)</f>
        <v>3</v>
      </c>
      <c r="H14" s="51">
        <f>IFERROR(VLOOKUP(SMALL(Group2[Rank Ties],'Group League Tables'!$A14),Group2[],9,FALSE),0)</f>
        <v>16</v>
      </c>
      <c r="I14" s="51">
        <f>IFERROR(VLOOKUP(SMALL(Group2[Rank Ties],'Group League Tables'!$A14),Group2[],10,FALSE),0)</f>
        <v>0</v>
      </c>
      <c r="J14" s="52">
        <f t="shared" si="1"/>
        <v>-13</v>
      </c>
    </row>
    <row r="15" spans="1:10" ht="13.5" thickBot="1" x14ac:dyDescent="0.25">
      <c r="A15" s="79" t="s">
        <v>62</v>
      </c>
      <c r="B15" s="80"/>
      <c r="C15" s="80"/>
      <c r="D15" s="80"/>
      <c r="E15" s="80"/>
      <c r="F15" s="80"/>
      <c r="G15" s="80"/>
      <c r="H15" s="80"/>
      <c r="I15" s="80"/>
      <c r="J15" s="81"/>
    </row>
    <row r="16" spans="1:10" x14ac:dyDescent="0.2">
      <c r="A16" s="88" t="s">
        <v>26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0" ht="13.5" thickBot="1" x14ac:dyDescent="0.25">
      <c r="A17" s="63" t="s">
        <v>11</v>
      </c>
      <c r="B17" s="64" t="s">
        <v>1</v>
      </c>
      <c r="C17" s="64" t="s">
        <v>2</v>
      </c>
      <c r="D17" s="64" t="s">
        <v>3</v>
      </c>
      <c r="E17" s="64" t="s">
        <v>4</v>
      </c>
      <c r="F17" s="64" t="s">
        <v>5</v>
      </c>
      <c r="G17" s="64" t="s">
        <v>6</v>
      </c>
      <c r="H17" s="64" t="s">
        <v>7</v>
      </c>
      <c r="I17" s="64" t="s">
        <v>8</v>
      </c>
      <c r="J17" s="64" t="s">
        <v>9</v>
      </c>
    </row>
    <row r="18" spans="1:10" ht="13.5" thickTop="1" x14ac:dyDescent="0.2">
      <c r="A18" s="58">
        <v>1</v>
      </c>
      <c r="B18" s="53" t="str">
        <f>VLOOKUP(SMALL(Group3[Rank Ties],League_TableC[[#This Row],[Position]]),Group3[],3,FALSE)</f>
        <v>Japan</v>
      </c>
      <c r="C18" s="54">
        <f>VLOOKUP(MIN(Group3[Rank Ties]),Group3[],4,FALSE)</f>
        <v>3</v>
      </c>
      <c r="D18" s="54">
        <f>VLOOKUP(MIN(Group3[Rank Ties]),Group3[],5,FALSE)</f>
        <v>3</v>
      </c>
      <c r="E18" s="54">
        <f>VLOOKUP(MIN(Group3[Rank Ties]),Group3[],6,FALSE)</f>
        <v>0</v>
      </c>
      <c r="F18" s="54">
        <f>VLOOKUP(MIN(Group3[Rank Ties]),Group3[],7,FALSE)</f>
        <v>0</v>
      </c>
      <c r="G18" s="54">
        <f>IFERROR(VLOOKUP(MIN(Group3[Rank Ties]),Group3[],8,FALSE),0)</f>
        <v>4</v>
      </c>
      <c r="H18" s="54">
        <f>IFERROR(VLOOKUP(MIN(Group3[Rank Ties]),Group3[],9,FALSE),0)</f>
        <v>1</v>
      </c>
      <c r="I18" s="54">
        <f>IFERROR(VLOOKUP(MIN(Group3[Rank Ties]),Group3[],10,FALSE),0)</f>
        <v>9</v>
      </c>
      <c r="J18" s="61">
        <f t="shared" ref="J18:J21" si="2">G18-H18</f>
        <v>3</v>
      </c>
    </row>
    <row r="19" spans="1:10" x14ac:dyDescent="0.2">
      <c r="A19" s="59">
        <v>2</v>
      </c>
      <c r="B19" s="55" t="str">
        <f>VLOOKUP(SMALL(Group3[Rank Ties],League_TableC[[#This Row],[Position]]),Group3[],3,FALSE)</f>
        <v>Cameroon</v>
      </c>
      <c r="C19" s="51">
        <f>VLOOKUP(SMALL(Group3[Rank Ties],'Group League Tables'!$A19),Group3[],4,FALSE)</f>
        <v>3</v>
      </c>
      <c r="D19" s="51">
        <f>VLOOKUP(SMALL(Group3[Rank Ties],'Group League Tables'!$A19),Group3[],5,FALSE)</f>
        <v>2</v>
      </c>
      <c r="E19" s="51">
        <f>VLOOKUP(SMALL(Group3[Rank Ties],'Group League Tables'!$A19),Group3[],6,FALSE)</f>
        <v>1</v>
      </c>
      <c r="F19" s="51">
        <f>VLOOKUP(SMALL(Group3[Rank Ties],'Group League Tables'!$A19),Group3[],7,FALSE)</f>
        <v>0</v>
      </c>
      <c r="G19" s="51">
        <f>IFERROR(VLOOKUP(SMALL(Group3[Rank Ties],'Group League Tables'!$A19),Group3[],8,FALSE),0)</f>
        <v>9</v>
      </c>
      <c r="H19" s="51">
        <f>IFERROR(VLOOKUP(SMALL(Group3[Rank Ties],'Group League Tables'!$A19),Group3[],9,FALSE),0)</f>
        <v>3</v>
      </c>
      <c r="I19" s="51">
        <f>IFERROR(VLOOKUP(SMALL(Group3[Rank Ties],'Group League Tables'!$A19),Group3[],10,FALSE),0)</f>
        <v>6</v>
      </c>
      <c r="J19" s="52">
        <f t="shared" si="2"/>
        <v>6</v>
      </c>
    </row>
    <row r="20" spans="1:10" x14ac:dyDescent="0.2">
      <c r="A20" s="60">
        <v>3</v>
      </c>
      <c r="B20" s="56" t="str">
        <f>VLOOKUP(SMALL(Group3[Rank Ties],League_TableC[[#This Row],[Position]]),Group3[],3,FALSE)</f>
        <v>Switzerland</v>
      </c>
      <c r="C20" s="57">
        <f>VLOOKUP(SMALL(Group3[Rank Ties],'Group League Tables'!$A20),Group3[],4,FALSE)</f>
        <v>3</v>
      </c>
      <c r="D20" s="57">
        <f>VLOOKUP(SMALL(Group3[Rank Ties],'Group League Tables'!$A20),Group3[],5,FALSE)</f>
        <v>1</v>
      </c>
      <c r="E20" s="57">
        <f>VLOOKUP(SMALL(Group3[Rank Ties],'Group League Tables'!$A20),Group3[],6,FALSE)</f>
        <v>2</v>
      </c>
      <c r="F20" s="57">
        <f>VLOOKUP(SMALL(Group3[Rank Ties],'Group League Tables'!$A20),Group3[],7,FALSE)</f>
        <v>0</v>
      </c>
      <c r="G20" s="57">
        <f>IFERROR(VLOOKUP(SMALL(Group3[Rank Ties],'Group League Tables'!$A20),Group3[],8,FALSE),0)</f>
        <v>11</v>
      </c>
      <c r="H20" s="57">
        <f>IFERROR(VLOOKUP(SMALL(Group3[Rank Ties],'Group League Tables'!$A20),Group3[],9,FALSE),0)</f>
        <v>4</v>
      </c>
      <c r="I20" s="57">
        <f>IFERROR(VLOOKUP(SMALL(Group3[Rank Ties],'Group League Tables'!$A20),Group3[],10,FALSE),0)</f>
        <v>3</v>
      </c>
      <c r="J20" s="62">
        <f t="shared" si="2"/>
        <v>7</v>
      </c>
    </row>
    <row r="21" spans="1:10" ht="13.5" thickBot="1" x14ac:dyDescent="0.25">
      <c r="A21" s="59">
        <v>4</v>
      </c>
      <c r="B21" s="55" t="str">
        <f>VLOOKUP(SMALL(Group3[Rank Ties],League_TableC[[#This Row],[Position]]),Group3[],3,FALSE)</f>
        <v>Ecuador</v>
      </c>
      <c r="C21" s="51">
        <f>VLOOKUP(SMALL(Group3[Rank Ties],'Group League Tables'!$A21),Group3[],4,FALSE)</f>
        <v>3</v>
      </c>
      <c r="D21" s="51">
        <f>VLOOKUP(SMALL(Group3[Rank Ties],'Group League Tables'!$A21),Group3[],5,FALSE)</f>
        <v>0</v>
      </c>
      <c r="E21" s="51">
        <f>VLOOKUP(SMALL(Group3[Rank Ties],'Group League Tables'!$A21),Group3[],6,FALSE)</f>
        <v>3</v>
      </c>
      <c r="F21" s="51">
        <f>VLOOKUP(SMALL(Group3[Rank Ties],'Group League Tables'!$A21),Group3[],7,FALSE)</f>
        <v>0</v>
      </c>
      <c r="G21" s="51">
        <f>IFERROR(VLOOKUP(SMALL(Group3[Rank Ties],'Group League Tables'!$A21),Group3[],8,FALSE),0)</f>
        <v>1</v>
      </c>
      <c r="H21" s="51">
        <f>IFERROR(VLOOKUP(SMALL(Group3[Rank Ties],'Group League Tables'!$A21),Group3[],9,FALSE),0)</f>
        <v>17</v>
      </c>
      <c r="I21" s="51">
        <f>IFERROR(VLOOKUP(SMALL(Group3[Rank Ties],'Group League Tables'!$A21),Group3[],10,FALSE),0)</f>
        <v>0</v>
      </c>
      <c r="J21" s="52">
        <f t="shared" si="2"/>
        <v>-16</v>
      </c>
    </row>
    <row r="22" spans="1:10" ht="13.5" thickBot="1" x14ac:dyDescent="0.25">
      <c r="A22" s="79" t="s">
        <v>63</v>
      </c>
      <c r="B22" s="80"/>
      <c r="C22" s="80"/>
      <c r="D22" s="80"/>
      <c r="E22" s="80"/>
      <c r="F22" s="80"/>
      <c r="G22" s="80"/>
      <c r="H22" s="80"/>
      <c r="I22" s="80"/>
      <c r="J22" s="81"/>
    </row>
    <row r="23" spans="1:10" x14ac:dyDescent="0.2">
      <c r="A23" s="88" t="s">
        <v>26</v>
      </c>
      <c r="B23" s="89"/>
      <c r="C23" s="89"/>
      <c r="D23" s="89"/>
      <c r="E23" s="89"/>
      <c r="F23" s="89"/>
      <c r="G23" s="89"/>
      <c r="H23" s="89"/>
      <c r="I23" s="89"/>
      <c r="J23" s="90"/>
    </row>
    <row r="24" spans="1:10" x14ac:dyDescent="0.2">
      <c r="A24" s="13" t="s">
        <v>11</v>
      </c>
      <c r="B24" s="14" t="s">
        <v>1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4" t="s">
        <v>7</v>
      </c>
      <c r="I24" s="14" t="s">
        <v>8</v>
      </c>
      <c r="J24" s="14" t="s">
        <v>9</v>
      </c>
    </row>
    <row r="25" spans="1:10" x14ac:dyDescent="0.2">
      <c r="A25" s="11">
        <v>1</v>
      </c>
      <c r="B25" s="15" t="str">
        <f>VLOOKUP(SMALL(Group4[Rank Ties],League_TableD[[#This Row],[Position]]),Group4[],3,FALSE)</f>
        <v>USA</v>
      </c>
      <c r="C25" s="16">
        <f>VLOOKUP(MIN(Group4[Rank Ties]),Group4[],4,FALSE)</f>
        <v>3</v>
      </c>
      <c r="D25" s="16">
        <f>VLOOKUP(MIN(Group4[Rank Ties]),Group4[],5,FALSE)</f>
        <v>2</v>
      </c>
      <c r="E25" s="16">
        <f>VLOOKUP(MIN(Group4[Rank Ties]),Group4[],6,FALSE)</f>
        <v>0</v>
      </c>
      <c r="F25" s="16">
        <f>VLOOKUP(MIN(Group4[Rank Ties]),Group4[],7,FALSE)</f>
        <v>1</v>
      </c>
      <c r="G25" s="16">
        <f>IFERROR(VLOOKUP(MIN(Group4[Rank Ties]),Group4[],8,FALSE),0)</f>
        <v>4</v>
      </c>
      <c r="H25" s="16">
        <f>IFERROR(VLOOKUP(MIN(Group4[Rank Ties]),Group4[],9,FALSE),0)</f>
        <v>1</v>
      </c>
      <c r="I25" s="16">
        <f>IFERROR(VLOOKUP(MIN(Group4[Rank Ties]),Group4[],10,FALSE),0)</f>
        <v>7</v>
      </c>
      <c r="J25" s="17">
        <f t="shared" ref="J25:J28" si="3">G25-H25</f>
        <v>3</v>
      </c>
    </row>
    <row r="26" spans="1:10" x14ac:dyDescent="0.2">
      <c r="A26" s="11">
        <v>2</v>
      </c>
      <c r="B26" s="15" t="str">
        <f>VLOOKUP(SMALL(Group4[Rank Ties],League_TableD[[#This Row],[Position]]),Group4[],3,FALSE)</f>
        <v>Australia</v>
      </c>
      <c r="C26" s="9">
        <f>VLOOKUP(SMALL(Group4[Rank Ties],League_TableD[[#This Row],[Position]]),Group4[],4,FALSE)</f>
        <v>3</v>
      </c>
      <c r="D26" s="9">
        <f>VLOOKUP(SMALL(Group4[Rank Ties],League_TableD[[#This Row],[Position]]),Group4[],5,FALSE)</f>
        <v>1</v>
      </c>
      <c r="E26" s="9">
        <f>VLOOKUP(SMALL(Group4[Rank Ties],League_TableD[[#This Row],[Position]]),Group4[],6,FALSE)</f>
        <v>1</v>
      </c>
      <c r="F26" s="9">
        <f>VLOOKUP(SMALL(Group4[Rank Ties],League_TableD[[#This Row],[Position]]),Group4[],7,FALSE)</f>
        <v>1</v>
      </c>
      <c r="G26" s="9">
        <f>IFERROR(VLOOKUP(SMALL(Group4[Rank Ties],League_TableD[[#This Row],[Position]]),Group4[],8,FALSE),0)</f>
        <v>4</v>
      </c>
      <c r="H26" s="9">
        <f>IFERROR(VLOOKUP(SMALL(Group4[Rank Ties],League_TableD[[#This Row],[Position]]),Group4[],9,FALSE),0)</f>
        <v>4</v>
      </c>
      <c r="I26" s="9">
        <f>IFERROR(VLOOKUP(SMALL(Group4[Rank Ties],League_TableD[[#This Row],[Position]]),Group4[],10,FALSE),0)</f>
        <v>4</v>
      </c>
      <c r="J26" s="17">
        <f t="shared" si="3"/>
        <v>0</v>
      </c>
    </row>
    <row r="27" spans="1:10" x14ac:dyDescent="0.2">
      <c r="A27" s="11">
        <v>3</v>
      </c>
      <c r="B27" s="15" t="str">
        <f>VLOOKUP(SMALL(Group4[Rank Ties],League_TableD[[#This Row],[Position]]),Group4[],3,FALSE)</f>
        <v>Sweden</v>
      </c>
      <c r="C27" s="9">
        <f>VLOOKUP(SMALL(Group4[Rank Ties],League_TableD[[#This Row],[Position]]),Group4[],4,FALSE)</f>
        <v>3</v>
      </c>
      <c r="D27" s="9">
        <f>VLOOKUP(SMALL(Group4[Rank Ties],League_TableD[[#This Row],[Position]]),Group4[],5,FALSE)</f>
        <v>0</v>
      </c>
      <c r="E27" s="9">
        <f>VLOOKUP(SMALL(Group4[Rank Ties],League_TableD[[#This Row],[Position]]),Group4[],6,FALSE)</f>
        <v>0</v>
      </c>
      <c r="F27" s="9">
        <f>VLOOKUP(SMALL(Group4[Rank Ties],League_TableD[[#This Row],[Position]]),Group4[],7,FALSE)</f>
        <v>3</v>
      </c>
      <c r="G27" s="9">
        <f>IFERROR(VLOOKUP(SMALL(Group4[Rank Ties],League_TableD[[#This Row],[Position]]),Group4[],8,FALSE),0)</f>
        <v>4</v>
      </c>
      <c r="H27" s="9">
        <f>IFERROR(VLOOKUP(SMALL(Group4[Rank Ties],League_TableD[[#This Row],[Position]]),Group4[],9,FALSE),0)</f>
        <v>4</v>
      </c>
      <c r="I27" s="9">
        <f>IFERROR(VLOOKUP(SMALL(Group4[Rank Ties],League_TableD[[#This Row],[Position]]),Group4[],10,FALSE),0)</f>
        <v>3</v>
      </c>
      <c r="J27" s="17">
        <f t="shared" si="3"/>
        <v>0</v>
      </c>
    </row>
    <row r="28" spans="1:10" ht="13.5" thickBot="1" x14ac:dyDescent="0.25">
      <c r="A28" s="11">
        <v>4</v>
      </c>
      <c r="B28" s="15" t="str">
        <f>VLOOKUP(SMALL(Group4[Rank Ties],League_TableD[[#This Row],[Position]]),Group4[],3,FALSE)</f>
        <v>Nigeria</v>
      </c>
      <c r="C28" s="9">
        <f>VLOOKUP(SMALL(Group4[Rank Ties],League_TableD[[#This Row],[Position]]),Group4[],4,FALSE)</f>
        <v>3</v>
      </c>
      <c r="D28" s="9">
        <f>VLOOKUP(SMALL(Group4[Rank Ties],League_TableD[[#This Row],[Position]]),Group4[],5,FALSE)</f>
        <v>0</v>
      </c>
      <c r="E28" s="9">
        <f>VLOOKUP(SMALL(Group4[Rank Ties],League_TableD[[#This Row],[Position]]),Group4[],6,FALSE)</f>
        <v>2</v>
      </c>
      <c r="F28" s="9">
        <f>VLOOKUP(SMALL(Group4[Rank Ties],League_TableD[[#This Row],[Position]]),Group4[],7,FALSE)</f>
        <v>1</v>
      </c>
      <c r="G28" s="9">
        <f>IFERROR(VLOOKUP(SMALL(Group4[Rank Ties],League_TableD[[#This Row],[Position]]),Group4[],8,FALSE),0)</f>
        <v>3</v>
      </c>
      <c r="H28" s="9">
        <f>IFERROR(VLOOKUP(SMALL(Group4[Rank Ties],League_TableD[[#This Row],[Position]]),Group4[],9,FALSE),0)</f>
        <v>6</v>
      </c>
      <c r="I28" s="9">
        <f>IFERROR(VLOOKUP(SMALL(Group4[Rank Ties],League_TableD[[#This Row],[Position]]),Group4[],10,FALSE),0)</f>
        <v>1</v>
      </c>
      <c r="J28" s="17">
        <f t="shared" si="3"/>
        <v>-3</v>
      </c>
    </row>
    <row r="29" spans="1:10" ht="13.5" thickBot="1" x14ac:dyDescent="0.25">
      <c r="A29" s="79" t="s">
        <v>64</v>
      </c>
      <c r="B29" s="80"/>
      <c r="C29" s="80"/>
      <c r="D29" s="80"/>
      <c r="E29" s="80"/>
      <c r="F29" s="80"/>
      <c r="G29" s="80"/>
      <c r="H29" s="80"/>
      <c r="I29" s="80"/>
      <c r="J29" s="81"/>
    </row>
    <row r="30" spans="1:10" x14ac:dyDescent="0.2">
      <c r="A30" s="88" t="s">
        <v>26</v>
      </c>
      <c r="B30" s="89"/>
      <c r="C30" s="89"/>
      <c r="D30" s="89"/>
      <c r="E30" s="89"/>
      <c r="F30" s="89"/>
      <c r="G30" s="89"/>
      <c r="H30" s="89"/>
      <c r="I30" s="89"/>
      <c r="J30" s="90"/>
    </row>
    <row r="31" spans="1:10" x14ac:dyDescent="0.2">
      <c r="A31" s="13" t="s">
        <v>11</v>
      </c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7</v>
      </c>
      <c r="I31" s="14" t="s">
        <v>8</v>
      </c>
      <c r="J31" s="14" t="s">
        <v>9</v>
      </c>
    </row>
    <row r="32" spans="1:10" x14ac:dyDescent="0.2">
      <c r="A32" s="11">
        <v>1</v>
      </c>
      <c r="B32" s="15" t="str">
        <f>VLOOKUP(SMALL(Group5[Rank Ties],League_TableE[[#This Row],[Position]]),Group5[],3,FALSE)</f>
        <v>Brazil</v>
      </c>
      <c r="C32" s="16">
        <f>VLOOKUP(MIN(Group5[Rank Ties]),Group5[],4,FALSE)</f>
        <v>3</v>
      </c>
      <c r="D32" s="16">
        <f>VLOOKUP(MIN(Group5[Rank Ties]),Group5[],5,FALSE)</f>
        <v>3</v>
      </c>
      <c r="E32" s="16">
        <f>VLOOKUP(MIN(Group5[Rank Ties]),Group5[],6,FALSE)</f>
        <v>0</v>
      </c>
      <c r="F32" s="16">
        <f>VLOOKUP(MIN(Group5[Rank Ties]),Group5[],7,FALSE)</f>
        <v>0</v>
      </c>
      <c r="G32" s="16">
        <f>IFERROR(VLOOKUP(MIN(Group5[Rank Ties]),Group5[],8,FALSE),0)</f>
        <v>4</v>
      </c>
      <c r="H32" s="16">
        <f>IFERROR(VLOOKUP(MIN(Group5[Rank Ties]),Group5[],9,FALSE),0)</f>
        <v>0</v>
      </c>
      <c r="I32" s="16">
        <f>IFERROR(VLOOKUP(MIN(Group5[Rank Ties]),Group5[],10,FALSE),0)</f>
        <v>9</v>
      </c>
      <c r="J32" s="17">
        <f t="shared" ref="J32:J35" si="4">G32-H32</f>
        <v>4</v>
      </c>
    </row>
    <row r="33" spans="1:11" x14ac:dyDescent="0.2">
      <c r="A33" s="11">
        <v>2</v>
      </c>
      <c r="B33" s="15" t="str">
        <f>VLOOKUP(SMALL(Group5[Rank Ties],League_TableE[[#This Row],[Position]]),Group5[],3,FALSE)</f>
        <v>Costa Rica</v>
      </c>
      <c r="C33" s="9">
        <f>VLOOKUP(SMALL(Group5[Rank Ties],League_TableE[[#This Row],[Position]]),Group5[],4,FALSE)</f>
        <v>3</v>
      </c>
      <c r="D33" s="9">
        <f>VLOOKUP(SMALL(Group5[Rank Ties],League_TableE[[#This Row],[Position]]),Group5[],5,FALSE)</f>
        <v>0</v>
      </c>
      <c r="E33" s="9">
        <f>VLOOKUP(SMALL(Group5[Rank Ties],League_TableE[[#This Row],[Position]]),Group5[],6,FALSE)</f>
        <v>1</v>
      </c>
      <c r="F33" s="9">
        <f>VLOOKUP(SMALL(Group5[Rank Ties],League_TableE[[#This Row],[Position]]),Group5[],7,FALSE)</f>
        <v>2</v>
      </c>
      <c r="G33" s="9">
        <f>IFERROR(VLOOKUP(SMALL(Group5[Rank Ties],League_TableE[[#This Row],[Position]]),Group5[],8,FALSE),0)</f>
        <v>3</v>
      </c>
      <c r="H33" s="9">
        <f>IFERROR(VLOOKUP(SMALL(Group5[Rank Ties],League_TableE[[#This Row],[Position]]),Group5[],9,FALSE),0)</f>
        <v>4</v>
      </c>
      <c r="I33" s="9">
        <f>IFERROR(VLOOKUP(SMALL(Group5[Rank Ties],League_TableE[[#This Row],[Position]]),Group5[],10,FALSE),0)</f>
        <v>2</v>
      </c>
      <c r="J33" s="17">
        <f t="shared" si="4"/>
        <v>-1</v>
      </c>
    </row>
    <row r="34" spans="1:11" x14ac:dyDescent="0.2">
      <c r="A34" s="11">
        <v>3</v>
      </c>
      <c r="B34" s="15" t="str">
        <f>VLOOKUP(SMALL(Group5[Rank Ties],League_TableE[[#This Row],[Position]]),Group5[],3,FALSE)</f>
        <v>Spain</v>
      </c>
      <c r="C34" s="9">
        <f>VLOOKUP(SMALL(Group5[Rank Ties],League_TableE[[#This Row],[Position]]),Group5[],4,FALSE)</f>
        <v>3</v>
      </c>
      <c r="D34" s="9">
        <f>VLOOKUP(SMALL(Group5[Rank Ties],League_TableE[[#This Row],[Position]]),Group5[],5,FALSE)</f>
        <v>0</v>
      </c>
      <c r="E34" s="9">
        <f>VLOOKUP(SMALL(Group5[Rank Ties],League_TableE[[#This Row],[Position]]),Group5[],6,FALSE)</f>
        <v>2</v>
      </c>
      <c r="F34" s="9">
        <f>VLOOKUP(SMALL(Group5[Rank Ties],League_TableE[[#This Row],[Position]]),Group5[],7,FALSE)</f>
        <v>1</v>
      </c>
      <c r="G34" s="9">
        <f>IFERROR(VLOOKUP(SMALL(Group5[Rank Ties],League_TableE[[#This Row],[Position]]),Group5[],8,FALSE),0)</f>
        <v>2</v>
      </c>
      <c r="H34" s="9">
        <f>IFERROR(VLOOKUP(SMALL(Group5[Rank Ties],League_TableE[[#This Row],[Position]]),Group5[],9,FALSE),0)</f>
        <v>4</v>
      </c>
      <c r="I34" s="9">
        <f>IFERROR(VLOOKUP(SMALL(Group5[Rank Ties],League_TableE[[#This Row],[Position]]),Group5[],10,FALSE),0)</f>
        <v>1</v>
      </c>
      <c r="J34" s="17">
        <f t="shared" si="4"/>
        <v>-2</v>
      </c>
    </row>
    <row r="35" spans="1:11" ht="13.5" thickBot="1" x14ac:dyDescent="0.25">
      <c r="A35" s="11">
        <v>4</v>
      </c>
      <c r="B35" s="15" t="str">
        <f>VLOOKUP(SMALL(Group5[Rank Ties],League_TableE[[#This Row],[Position]]),Group5[],3,FALSE)</f>
        <v>Korea Republic</v>
      </c>
      <c r="C35" s="9">
        <f>VLOOKUP(SMALL(Group5[Rank Ties],League_TableE[[#This Row],[Position]]),Group5[],4,FALSE)</f>
        <v>1</v>
      </c>
      <c r="D35" s="9">
        <f>VLOOKUP(SMALL(Group5[Rank Ties],League_TableE[[#This Row],[Position]]),Group5[],5,FALSE)</f>
        <v>0</v>
      </c>
      <c r="E35" s="9">
        <f>VLOOKUP(SMALL(Group5[Rank Ties],League_TableE[[#This Row],[Position]]),Group5[],6,FALSE)</f>
        <v>1</v>
      </c>
      <c r="F35" s="9">
        <f>VLOOKUP(SMALL(Group5[Rank Ties],League_TableE[[#This Row],[Position]]),Group5[],7,FALSE)</f>
        <v>0</v>
      </c>
      <c r="G35" s="9">
        <f>IFERROR(VLOOKUP(SMALL(Group5[Rank Ties],League_TableE[[#This Row],[Position]]),Group5[],8,FALSE),0)</f>
        <v>0</v>
      </c>
      <c r="H35" s="9">
        <f>IFERROR(VLOOKUP(SMALL(Group5[Rank Ties],League_TableE[[#This Row],[Position]]),Group5[],9,FALSE),0)</f>
        <v>2</v>
      </c>
      <c r="I35" s="9">
        <f>IFERROR(VLOOKUP(SMALL(Group5[Rank Ties],League_TableE[[#This Row],[Position]]),Group5[],10,FALSE),0)</f>
        <v>0</v>
      </c>
      <c r="J35" s="17">
        <f t="shared" si="4"/>
        <v>-2</v>
      </c>
    </row>
    <row r="36" spans="1:11" ht="13.5" thickBot="1" x14ac:dyDescent="0.25">
      <c r="A36" s="79" t="s">
        <v>65</v>
      </c>
      <c r="B36" s="80"/>
      <c r="C36" s="80"/>
      <c r="D36" s="80"/>
      <c r="E36" s="80"/>
      <c r="F36" s="80"/>
      <c r="G36" s="80"/>
      <c r="H36" s="80"/>
      <c r="I36" s="80"/>
      <c r="J36" s="81"/>
    </row>
    <row r="37" spans="1:11" x14ac:dyDescent="0.2">
      <c r="A37" s="82" t="s">
        <v>26</v>
      </c>
      <c r="B37" s="83"/>
      <c r="C37" s="83"/>
      <c r="D37" s="83"/>
      <c r="E37" s="83"/>
      <c r="F37" s="83"/>
      <c r="G37" s="83"/>
      <c r="H37" s="83"/>
      <c r="I37" s="83"/>
      <c r="J37" s="84"/>
    </row>
    <row r="38" spans="1:11" x14ac:dyDescent="0.2">
      <c r="A38" s="13" t="s">
        <v>11</v>
      </c>
      <c r="B38" s="14" t="s">
        <v>1</v>
      </c>
      <c r="C38" s="14" t="s">
        <v>2</v>
      </c>
      <c r="D38" s="14" t="s">
        <v>3</v>
      </c>
      <c r="E38" s="14" t="s">
        <v>4</v>
      </c>
      <c r="F38" s="14" t="s">
        <v>5</v>
      </c>
      <c r="G38" s="14" t="s">
        <v>6</v>
      </c>
      <c r="H38" s="14" t="s">
        <v>7</v>
      </c>
      <c r="I38" s="14" t="s">
        <v>8</v>
      </c>
      <c r="J38" s="14" t="s">
        <v>9</v>
      </c>
    </row>
    <row r="39" spans="1:11" x14ac:dyDescent="0.2">
      <c r="A39" s="11">
        <v>1</v>
      </c>
      <c r="B39" s="15" t="str">
        <f>VLOOKUP(SMALL(Group6[Rank Ties],League_TableF[[#This Row],[Position]]),Group6[],3,FALSE)</f>
        <v>France</v>
      </c>
      <c r="C39" s="9">
        <f>VLOOKUP(SMALL(Group6[Rank Ties],League_TableF[[#This Row],[Position]]),Group6[],4,FALSE)</f>
        <v>3</v>
      </c>
      <c r="D39" s="9">
        <f>VLOOKUP(SMALL(Group6[Rank Ties],League_TableF[[#This Row],[Position]]),Group6[],5,FALSE)</f>
        <v>2</v>
      </c>
      <c r="E39" s="9">
        <f>VLOOKUP(SMALL(Group6[Rank Ties],League_TableF[[#This Row],[Position]]),Group6[],6,FALSE)</f>
        <v>1</v>
      </c>
      <c r="F39" s="9">
        <f>VLOOKUP(SMALL(Group6[Rank Ties],League_TableF[[#This Row],[Position]]),Group6[],7,FALSE)</f>
        <v>0</v>
      </c>
      <c r="G39" s="9">
        <f>IFERROR(VLOOKUP(SMALL(Group6[Rank Ties],League_TableF[[#This Row],[Position]]),Group6[],8,FALSE),0)</f>
        <v>6</v>
      </c>
      <c r="H39" s="9">
        <f>IFERROR(VLOOKUP(SMALL(Group6[Rank Ties],League_TableF[[#This Row],[Position]]),Group6[],9,FALSE),0)</f>
        <v>2</v>
      </c>
      <c r="I39" s="9">
        <f>IFERROR(VLOOKUP(SMALL(Group6[Rank Ties],League_TableF[[#This Row],[Position]]),Group6[],10,FALSE),0)</f>
        <v>6</v>
      </c>
      <c r="J39" s="17">
        <f t="shared" ref="J39:J42" si="5">G39-H39</f>
        <v>4</v>
      </c>
    </row>
    <row r="40" spans="1:11" x14ac:dyDescent="0.2">
      <c r="A40" s="11">
        <v>2</v>
      </c>
      <c r="B40" s="15" t="str">
        <f>VLOOKUP(SMALL(Group6[Rank Ties],League_TableF[[#This Row],[Position]]),Group6[],3,FALSE)</f>
        <v>England</v>
      </c>
      <c r="C40" s="9">
        <f>VLOOKUP(SMALL(Group6[Rank Ties],League_TableF[[#This Row],[Position]]),Group6[],4,FALSE)</f>
        <v>3</v>
      </c>
      <c r="D40" s="9">
        <f>VLOOKUP(SMALL(Group6[Rank Ties],League_TableF[[#This Row],[Position]]),Group6[],5,FALSE)</f>
        <v>2</v>
      </c>
      <c r="E40" s="9">
        <f>VLOOKUP(SMALL(Group6[Rank Ties],League_TableF[[#This Row],[Position]]),Group6[],6,FALSE)</f>
        <v>1</v>
      </c>
      <c r="F40" s="9">
        <f>VLOOKUP(SMALL(Group6[Rank Ties],League_TableF[[#This Row],[Position]]),Group6[],7,FALSE)</f>
        <v>0</v>
      </c>
      <c r="G40" s="9">
        <f>IFERROR(VLOOKUP(SMALL(Group6[Rank Ties],League_TableF[[#This Row],[Position]]),Group6[],8,FALSE),0)</f>
        <v>4</v>
      </c>
      <c r="H40" s="9">
        <f>IFERROR(VLOOKUP(SMALL(Group6[Rank Ties],League_TableF[[#This Row],[Position]]),Group6[],9,FALSE),0)</f>
        <v>3</v>
      </c>
      <c r="I40" s="9">
        <f>IFERROR(VLOOKUP(SMALL(Group6[Rank Ties],League_TableF[[#This Row],[Position]]),Group6[],10,FALSE),0)</f>
        <v>6</v>
      </c>
      <c r="J40" s="17">
        <f t="shared" si="5"/>
        <v>1</v>
      </c>
    </row>
    <row r="41" spans="1:11" x14ac:dyDescent="0.2">
      <c r="A41" s="11">
        <v>3</v>
      </c>
      <c r="B41" s="15" t="str">
        <f>VLOOKUP(SMALL(Group6[Rank Ties],League_TableF[[#This Row],[Position]]),Group6[],3,FALSE)</f>
        <v>Colombia</v>
      </c>
      <c r="C41" s="9">
        <f>VLOOKUP(SMALL(Group6[Rank Ties],League_TableF[[#This Row],[Position]]),Group6[],4,FALSE)</f>
        <v>3</v>
      </c>
      <c r="D41" s="9">
        <f>VLOOKUP(SMALL(Group6[Rank Ties],League_TableF[[#This Row],[Position]]),Group6[],5,FALSE)</f>
        <v>1</v>
      </c>
      <c r="E41" s="9">
        <f>VLOOKUP(SMALL(Group6[Rank Ties],League_TableF[[#This Row],[Position]]),Group6[],6,FALSE)</f>
        <v>1</v>
      </c>
      <c r="F41" s="9">
        <f>VLOOKUP(SMALL(Group6[Rank Ties],League_TableF[[#This Row],[Position]]),Group6[],7,FALSE)</f>
        <v>1</v>
      </c>
      <c r="G41" s="9">
        <f>IFERROR(VLOOKUP(SMALL(Group6[Rank Ties],League_TableF[[#This Row],[Position]]),Group6[],8,FALSE),0)</f>
        <v>4</v>
      </c>
      <c r="H41" s="9">
        <f>IFERROR(VLOOKUP(SMALL(Group6[Rank Ties],League_TableF[[#This Row],[Position]]),Group6[],9,FALSE),0)</f>
        <v>3</v>
      </c>
      <c r="I41" s="9">
        <f>IFERROR(VLOOKUP(SMALL(Group6[Rank Ties],League_TableF[[#This Row],[Position]]),Group6[],10,FALSE),0)</f>
        <v>4</v>
      </c>
      <c r="J41" s="17">
        <f t="shared" si="5"/>
        <v>1</v>
      </c>
    </row>
    <row r="42" spans="1:11" ht="13.5" thickBot="1" x14ac:dyDescent="0.25">
      <c r="A42" s="11">
        <v>4</v>
      </c>
      <c r="B42" s="15" t="str">
        <f>VLOOKUP(SMALL(Group6[Rank Ties],League_TableF[[#This Row],[Position]]),Group6[],3,FALSE)</f>
        <v>Mexico</v>
      </c>
      <c r="C42" s="9">
        <f>VLOOKUP(SMALL(Group6[Rank Ties],League_TableF[[#This Row],[Position]]),Group6[],4,FALSE)</f>
        <v>3</v>
      </c>
      <c r="D42" s="9">
        <f>VLOOKUP(SMALL(Group6[Rank Ties],League_TableF[[#This Row],[Position]]),Group6[],5,FALSE)</f>
        <v>0</v>
      </c>
      <c r="E42" s="9">
        <f>VLOOKUP(SMALL(Group6[Rank Ties],League_TableF[[#This Row],[Position]]),Group6[],6,FALSE)</f>
        <v>2</v>
      </c>
      <c r="F42" s="9">
        <f>VLOOKUP(SMALL(Group6[Rank Ties],League_TableF[[#This Row],[Position]]),Group6[],7,FALSE)</f>
        <v>1</v>
      </c>
      <c r="G42" s="9">
        <f>IFERROR(VLOOKUP(SMALL(Group6[Rank Ties],League_TableF[[#This Row],[Position]]),Group6[],8,FALSE),0)</f>
        <v>2</v>
      </c>
      <c r="H42" s="9">
        <f>IFERROR(VLOOKUP(SMALL(Group6[Rank Ties],League_TableF[[#This Row],[Position]]),Group6[],9,FALSE),0)</f>
        <v>8</v>
      </c>
      <c r="I42" s="9">
        <f>IFERROR(VLOOKUP(SMALL(Group6[Rank Ties],League_TableF[[#This Row],[Position]]),Group6[],10,FALSE),0)</f>
        <v>1</v>
      </c>
      <c r="J42" s="17">
        <f t="shared" si="5"/>
        <v>-6</v>
      </c>
    </row>
    <row r="43" spans="1:11" ht="13.5" thickBot="1" x14ac:dyDescent="0.25">
      <c r="A43" s="79" t="s">
        <v>68</v>
      </c>
      <c r="B43" s="80"/>
      <c r="C43" s="80"/>
      <c r="D43" s="80"/>
      <c r="E43" s="80"/>
      <c r="F43" s="80"/>
      <c r="G43" s="80"/>
      <c r="H43" s="80"/>
      <c r="I43" s="80"/>
      <c r="J43" s="81"/>
    </row>
    <row r="44" spans="1:11" x14ac:dyDescent="0.2">
      <c r="A44" s="82" t="s">
        <v>26</v>
      </c>
      <c r="B44" s="83"/>
      <c r="C44" s="83"/>
      <c r="D44" s="83"/>
      <c r="E44" s="83"/>
      <c r="F44" s="83"/>
      <c r="G44" s="83"/>
      <c r="H44" s="83"/>
      <c r="I44" s="83"/>
      <c r="J44" s="84"/>
    </row>
    <row r="45" spans="1:11" x14ac:dyDescent="0.2">
      <c r="A45" s="13" t="s">
        <v>11</v>
      </c>
      <c r="B45" s="14" t="s">
        <v>1</v>
      </c>
      <c r="C45" s="14" t="s">
        <v>2</v>
      </c>
      <c r="D45" s="14" t="s">
        <v>3</v>
      </c>
      <c r="E45" s="14" t="s">
        <v>4</v>
      </c>
      <c r="F45" s="14" t="s">
        <v>5</v>
      </c>
      <c r="G45" s="14" t="s">
        <v>6</v>
      </c>
      <c r="H45" s="14" t="s">
        <v>7</v>
      </c>
      <c r="I45" s="14" t="s">
        <v>8</v>
      </c>
      <c r="J45" s="14" t="s">
        <v>9</v>
      </c>
      <c r="K45" s="38" t="s">
        <v>88</v>
      </c>
    </row>
    <row r="46" spans="1:11" x14ac:dyDescent="0.2">
      <c r="A46" s="11">
        <v>1</v>
      </c>
      <c r="B46" s="15" t="str">
        <f>VLOOKUP(SMALL(GroupThirdPlace[Rank Ties],League_Table_Third_place[[#This Row],[Position]]),GroupThirdPlace[#All],3,FALSE)</f>
        <v>Colombia</v>
      </c>
      <c r="C46" s="9">
        <f>VLOOKUP(SMALL(GroupThirdPlace[Rank Ties],League_Table_Third_place[[#This Row],[Position]]),GroupThirdPlace[#All],4,FALSE)</f>
        <v>3</v>
      </c>
      <c r="D46" s="9">
        <f>VLOOKUP(SMALL(GroupThirdPlace[Rank Ties],League_Table_Third_place[[#This Row],[Position]]),GroupThirdPlace[#All],5,FALSE)</f>
        <v>1</v>
      </c>
      <c r="E46" s="9">
        <f>VLOOKUP(SMALL(GroupThirdPlace[Rank Ties],League_Table_Third_place[[#This Row],[Position]]),GroupThirdPlace[#All],6,FALSE)</f>
        <v>1</v>
      </c>
      <c r="F46" s="9">
        <f>VLOOKUP(SMALL(GroupThirdPlace[Rank Ties],League_Table_Third_place[[#This Row],[Position]]),GroupThirdPlace[#All],7,FALSE)</f>
        <v>1</v>
      </c>
      <c r="G46" s="9">
        <f>IFERROR(VLOOKUP(SMALL(GroupThirdPlace[Rank Ties],League_Table_Third_place[[#This Row],[Position]]),GroupThirdPlace[#All],8,FALSE),0)</f>
        <v>4</v>
      </c>
      <c r="H46" s="9">
        <f>IFERROR(VLOOKUP(SMALL(GroupThirdPlace[Rank Ties],League_Table_Third_place[[#This Row],[Position]]),GroupThirdPlace[#All],9,FALSE),0)</f>
        <v>3</v>
      </c>
      <c r="I46" s="9">
        <f>IFERROR(VLOOKUP(SMALL(GroupThirdPlace[Rank Ties],League_Table_Third_place[[#This Row],[Position]]),GroupThirdPlace[#All],10,FALSE),0)</f>
        <v>4</v>
      </c>
      <c r="J46" s="17">
        <f t="shared" ref="J46:J49" si="6">G46-H46</f>
        <v>1</v>
      </c>
      <c r="K46" s="37" t="str">
        <f>IFERROR(VLOOKUP(SMALL(GroupThirdPlace[Rank Ties],League_Table_Third_place[[#This Row],[Position]]),GroupThirdPlace[#All],15,FALSE),0)</f>
        <v>F</v>
      </c>
    </row>
    <row r="47" spans="1:11" x14ac:dyDescent="0.2">
      <c r="A47" s="11">
        <v>2</v>
      </c>
      <c r="B47" s="15" t="str">
        <f>VLOOKUP(SMALL(GroupThirdPlace[Rank Ties],League_Table_Third_place[[#This Row],[Position]]),GroupThirdPlace[#All],3,FALSE)</f>
        <v>Netherlands</v>
      </c>
      <c r="C47" s="9">
        <f>VLOOKUP(SMALL(GroupThirdPlace[Rank Ties],League_Table_Third_place[[#This Row],[Position]]),GroupThirdPlace[#All],4,FALSE)</f>
        <v>3</v>
      </c>
      <c r="D47" s="9">
        <f>VLOOKUP(SMALL(GroupThirdPlace[Rank Ties],League_Table_Third_place[[#This Row],[Position]]),GroupThirdPlace[#All],5,FALSE)</f>
        <v>1</v>
      </c>
      <c r="E47" s="9">
        <f>VLOOKUP(SMALL(GroupThirdPlace[Rank Ties],League_Table_Third_place[[#This Row],[Position]]),GroupThirdPlace[#All],6,FALSE)</f>
        <v>1</v>
      </c>
      <c r="F47" s="9">
        <f>VLOOKUP(SMALL(GroupThirdPlace[Rank Ties],League_Table_Third_place[[#This Row],[Position]]),GroupThirdPlace[#All],7,FALSE)</f>
        <v>1</v>
      </c>
      <c r="G47" s="9">
        <f>IFERROR(VLOOKUP(SMALL(GroupThirdPlace[Rank Ties],League_Table_Third_place[[#This Row],[Position]]),GroupThirdPlace[#All],8,FALSE),0)</f>
        <v>2</v>
      </c>
      <c r="H47" s="9">
        <f>IFERROR(VLOOKUP(SMALL(GroupThirdPlace[Rank Ties],League_Table_Third_place[[#This Row],[Position]]),GroupThirdPlace[#All],9,FALSE),0)</f>
        <v>2</v>
      </c>
      <c r="I47" s="9">
        <f>IFERROR(VLOOKUP(SMALL(GroupThirdPlace[Rank Ties],League_Table_Third_place[[#This Row],[Position]]),GroupThirdPlace[#All],10,FALSE),0)</f>
        <v>4</v>
      </c>
      <c r="J47" s="17">
        <f t="shared" si="6"/>
        <v>0</v>
      </c>
      <c r="K47" s="37" t="str">
        <f>IFERROR(VLOOKUP(SMALL(GroupThirdPlace[Rank Ties],League_Table_Third_place[[#This Row],[Position]]),GroupThirdPlace[#All],15,FALSE),0)</f>
        <v>A</v>
      </c>
    </row>
    <row r="48" spans="1:11" x14ac:dyDescent="0.2">
      <c r="A48" s="11">
        <v>3</v>
      </c>
      <c r="B48" s="15" t="str">
        <f>VLOOKUP(SMALL(GroupThirdPlace[Rank Ties],League_Table_Third_place[[#This Row],[Position]]),GroupThirdPlace[#All],3,FALSE)</f>
        <v>Switzerland</v>
      </c>
      <c r="C48" s="9">
        <f>VLOOKUP(SMALL(GroupThirdPlace[Rank Ties],League_Table_Third_place[[#This Row],[Position]]),GroupThirdPlace[#All],4,FALSE)</f>
        <v>3</v>
      </c>
      <c r="D48" s="9">
        <f>VLOOKUP(SMALL(GroupThirdPlace[Rank Ties],League_Table_Third_place[[#This Row],[Position]]),GroupThirdPlace[#All],5,FALSE)</f>
        <v>1</v>
      </c>
      <c r="E48" s="9">
        <f>VLOOKUP(SMALL(GroupThirdPlace[Rank Ties],League_Table_Third_place[[#This Row],[Position]]),GroupThirdPlace[#All],6,FALSE)</f>
        <v>2</v>
      </c>
      <c r="F48" s="9">
        <f>VLOOKUP(SMALL(GroupThirdPlace[Rank Ties],League_Table_Third_place[[#This Row],[Position]]),GroupThirdPlace[#All],7,FALSE)</f>
        <v>0</v>
      </c>
      <c r="G48" s="9">
        <f>IFERROR(VLOOKUP(SMALL(GroupThirdPlace[Rank Ties],League_Table_Third_place[[#This Row],[Position]]),GroupThirdPlace[#All],8,FALSE),0)</f>
        <v>11</v>
      </c>
      <c r="H48" s="9">
        <f>IFERROR(VLOOKUP(SMALL(GroupThirdPlace[Rank Ties],League_Table_Third_place[[#This Row],[Position]]),GroupThirdPlace[#All],9,FALSE),0)</f>
        <v>4</v>
      </c>
      <c r="I48" s="9">
        <f>IFERROR(VLOOKUP(SMALL(GroupThirdPlace[Rank Ties],League_Table_Third_place[[#This Row],[Position]]),GroupThirdPlace[#All],10,FALSE),0)</f>
        <v>3</v>
      </c>
      <c r="J48" s="17">
        <f t="shared" si="6"/>
        <v>7</v>
      </c>
      <c r="K48" s="37" t="str">
        <f>IFERROR(VLOOKUP(SMALL(GroupThirdPlace[Rank Ties],League_Table_Third_place[[#This Row],[Position]]),GroupThirdPlace[#All],15,FALSE),0)</f>
        <v>C</v>
      </c>
    </row>
    <row r="49" spans="1:11" x14ac:dyDescent="0.2">
      <c r="A49" s="11">
        <v>4</v>
      </c>
      <c r="B49" s="15" t="str">
        <f>VLOOKUP(SMALL(GroupThirdPlace[Rank Ties],League_Table_Third_place[[#This Row],[Position]]),GroupThirdPlace[#All],3,FALSE)</f>
        <v>Sweden</v>
      </c>
      <c r="C49" s="9">
        <f>VLOOKUP(SMALL(GroupThirdPlace[Rank Ties],League_Table_Third_place[[#This Row],[Position]]),GroupThirdPlace[#All],4,FALSE)</f>
        <v>3</v>
      </c>
      <c r="D49" s="9">
        <f>VLOOKUP(SMALL(GroupThirdPlace[Rank Ties],League_Table_Third_place[[#This Row],[Position]]),GroupThirdPlace[#All],5,FALSE)</f>
        <v>0</v>
      </c>
      <c r="E49" s="9">
        <f>VLOOKUP(SMALL(GroupThirdPlace[Rank Ties],League_Table_Third_place[[#This Row],[Position]]),GroupThirdPlace[#All],6,FALSE)</f>
        <v>0</v>
      </c>
      <c r="F49" s="9">
        <f>VLOOKUP(SMALL(GroupThirdPlace[Rank Ties],League_Table_Third_place[[#This Row],[Position]]),GroupThirdPlace[#All],7,FALSE)</f>
        <v>3</v>
      </c>
      <c r="G49" s="9">
        <f>IFERROR(VLOOKUP(SMALL(GroupThirdPlace[Rank Ties],League_Table_Third_place[[#This Row],[Position]]),GroupThirdPlace[#All],8,FALSE),0)</f>
        <v>4</v>
      </c>
      <c r="H49" s="9">
        <f>IFERROR(VLOOKUP(SMALL(GroupThirdPlace[Rank Ties],League_Table_Third_place[[#This Row],[Position]]),GroupThirdPlace[#All],9,FALSE),0)</f>
        <v>4</v>
      </c>
      <c r="I49" s="9">
        <f>IFERROR(VLOOKUP(SMALL(GroupThirdPlace[Rank Ties],League_Table_Third_place[[#This Row],[Position]]),GroupThirdPlace[#All],10,FALSE),0)</f>
        <v>3</v>
      </c>
      <c r="J49" s="17">
        <f t="shared" si="6"/>
        <v>0</v>
      </c>
      <c r="K49" s="37" t="str">
        <f>IFERROR(VLOOKUP(SMALL(GroupThirdPlace[Rank Ties],League_Table_Third_place[[#This Row],[Position]]),GroupThirdPlace[#All],15,FALSE),0)</f>
        <v>D</v>
      </c>
    </row>
    <row r="50" spans="1:11" x14ac:dyDescent="0.2">
      <c r="A50" s="11">
        <v>5</v>
      </c>
      <c r="B50" s="29" t="str">
        <f>VLOOKUP(SMALL(GroupThirdPlace[Rank Ties],League_Table_Third_place[[#This Row],[Position]]),GroupThirdPlace[#All],3,FALSE)</f>
        <v>Thailand</v>
      </c>
      <c r="C50" s="30">
        <f>VLOOKUP(SMALL(GroupThirdPlace[Rank Ties],League_Table_Third_place[[#This Row],[Position]]),GroupThirdPlace[#All],4,FALSE)</f>
        <v>3</v>
      </c>
      <c r="D50" s="30">
        <f>VLOOKUP(SMALL(GroupThirdPlace[Rank Ties],League_Table_Third_place[[#This Row],[Position]]),GroupThirdPlace[#All],5,FALSE)</f>
        <v>1</v>
      </c>
      <c r="E50" s="30">
        <f>VLOOKUP(SMALL(GroupThirdPlace[Rank Ties],League_Table_Third_place[[#This Row],[Position]]),GroupThirdPlace[#All],6,FALSE)</f>
        <v>2</v>
      </c>
      <c r="F50" s="30">
        <f>VLOOKUP(SMALL(GroupThirdPlace[Rank Ties],League_Table_Third_place[[#This Row],[Position]]),GroupThirdPlace[#All],7,FALSE)</f>
        <v>0</v>
      </c>
      <c r="G50" s="30">
        <f>IFERROR(VLOOKUP(SMALL(GroupThirdPlace[Rank Ties],League_Table_Third_place[[#This Row],[Position]]),GroupThirdPlace[#All],8,FALSE),0)</f>
        <v>3</v>
      </c>
      <c r="H50" s="30">
        <f>IFERROR(VLOOKUP(SMALL(GroupThirdPlace[Rank Ties],League_Table_Third_place[[#This Row],[Position]]),GroupThirdPlace[#All],9,FALSE),0)</f>
        <v>10</v>
      </c>
      <c r="I50" s="30">
        <f>IFERROR(VLOOKUP(SMALL(GroupThirdPlace[Rank Ties],League_Table_Third_place[[#This Row],[Position]]),GroupThirdPlace[#All],10,FALSE),0)</f>
        <v>3</v>
      </c>
      <c r="J50" s="30">
        <f t="shared" ref="J50:J51" si="7">G50-H50</f>
        <v>-7</v>
      </c>
      <c r="K50" s="37" t="str">
        <f>IFERROR(VLOOKUP(SMALL(GroupThirdPlace[Rank Ties],League_Table_Third_place[[#This Row],[Position]]),GroupThirdPlace[#All],15,FALSE),0)</f>
        <v>B</v>
      </c>
    </row>
    <row r="51" spans="1:11" x14ac:dyDescent="0.2">
      <c r="A51" s="11">
        <v>6</v>
      </c>
      <c r="B51" s="29" t="str">
        <f>VLOOKUP(SMALL(GroupThirdPlace[Rank Ties],League_Table_Third_place[[#This Row],[Position]]),GroupThirdPlace[#All],3,FALSE)</f>
        <v>Spain</v>
      </c>
      <c r="C51" s="30">
        <f>VLOOKUP(SMALL(GroupThirdPlace[Rank Ties],League_Table_Third_place[[#This Row],[Position]]),GroupThirdPlace[#All],4,FALSE)</f>
        <v>3</v>
      </c>
      <c r="D51" s="30">
        <f>VLOOKUP(SMALL(GroupThirdPlace[Rank Ties],League_Table_Third_place[[#This Row],[Position]]),GroupThirdPlace[#All],5,FALSE)</f>
        <v>0</v>
      </c>
      <c r="E51" s="30">
        <f>VLOOKUP(SMALL(GroupThirdPlace[Rank Ties],League_Table_Third_place[[#This Row],[Position]]),GroupThirdPlace[#All],6,FALSE)</f>
        <v>2</v>
      </c>
      <c r="F51" s="30">
        <f>VLOOKUP(SMALL(GroupThirdPlace[Rank Ties],League_Table_Third_place[[#This Row],[Position]]),GroupThirdPlace[#All],7,FALSE)</f>
        <v>1</v>
      </c>
      <c r="G51" s="30">
        <f>IFERROR(VLOOKUP(SMALL(GroupThirdPlace[Rank Ties],League_Table_Third_place[[#This Row],[Position]]),GroupThirdPlace[#All],8,FALSE),0)</f>
        <v>2</v>
      </c>
      <c r="H51" s="30">
        <f>IFERROR(VLOOKUP(SMALL(GroupThirdPlace[Rank Ties],League_Table_Third_place[[#This Row],[Position]]),GroupThirdPlace[#All],9,FALSE),0)</f>
        <v>4</v>
      </c>
      <c r="I51" s="30">
        <f>IFERROR(VLOOKUP(SMALL(GroupThirdPlace[Rank Ties],League_Table_Third_place[[#This Row],[Position]]),GroupThirdPlace[#All],10,FALSE),0)</f>
        <v>1</v>
      </c>
      <c r="J51" s="30">
        <f t="shared" si="7"/>
        <v>-2</v>
      </c>
      <c r="K51" s="37" t="str">
        <f>IFERROR(VLOOKUP(SMALL(GroupThirdPlace[Rank Ties],League_Table_Third_place[[#This Row],[Position]]),GroupThirdPlace[#All],15,FALSE),0)</f>
        <v>E</v>
      </c>
    </row>
  </sheetData>
  <mergeCells count="14">
    <mergeCell ref="A43:J43"/>
    <mergeCell ref="A44:J44"/>
    <mergeCell ref="A37:J37"/>
    <mergeCell ref="A1:J1"/>
    <mergeCell ref="A8:J8"/>
    <mergeCell ref="A15:J15"/>
    <mergeCell ref="A22:J22"/>
    <mergeCell ref="A29:J29"/>
    <mergeCell ref="A36:J36"/>
    <mergeCell ref="A2:J2"/>
    <mergeCell ref="A9:J9"/>
    <mergeCell ref="A16:J16"/>
    <mergeCell ref="A23:J23"/>
    <mergeCell ref="A30:J30"/>
  </mergeCells>
  <pageMargins left="0.7" right="0.7" top="0.75" bottom="0.75" header="0.3" footer="0.3"/>
  <ignoredErrors>
    <ignoredError sqref="C11:I11 C18:I18" calculatedColumn="1"/>
  </ignoredErrors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R35"/>
  <sheetViews>
    <sheetView showGridLines="0" zoomScale="110" zoomScaleNormal="110" workbookViewId="0">
      <pane ySplit="4" topLeftCell="A5" activePane="bottomLeft" state="frozen"/>
      <selection pane="bottomLeft" activeCell="T6" sqref="T6"/>
    </sheetView>
  </sheetViews>
  <sheetFormatPr defaultRowHeight="12.75" x14ac:dyDescent="0.2"/>
  <cols>
    <col min="1" max="1" width="14.42578125" style="25" bestFit="1" customWidth="1"/>
    <col min="2" max="2" width="9.140625" style="25"/>
    <col min="3" max="3" width="2.28515625" style="25" bestFit="1" customWidth="1"/>
    <col min="4" max="4" width="9.140625" style="25"/>
    <col min="5" max="5" width="14.42578125" style="25" customWidth="1"/>
    <col min="6" max="6" width="2.7109375" style="25" customWidth="1"/>
    <col min="7" max="7" width="14.42578125" style="25" customWidth="1"/>
    <col min="8" max="8" width="9.140625" style="25" customWidth="1"/>
    <col min="9" max="9" width="2.28515625" style="25" customWidth="1"/>
    <col min="10" max="10" width="9.140625" style="25" customWidth="1"/>
    <col min="11" max="11" width="14.42578125" style="25" customWidth="1"/>
    <col min="12" max="12" width="1.7109375" style="25" customWidth="1"/>
    <col min="13" max="13" width="14.42578125" style="25" customWidth="1"/>
    <col min="14" max="14" width="9.140625" style="25" customWidth="1"/>
    <col min="15" max="15" width="2.28515625" style="25" customWidth="1"/>
    <col min="16" max="16" width="9.140625" style="25" customWidth="1"/>
    <col min="17" max="17" width="14.42578125" style="25" customWidth="1"/>
    <col min="18" max="18" width="2.28515625" style="25" bestFit="1" customWidth="1"/>
    <col min="19" max="19" width="14.42578125" style="25" customWidth="1"/>
    <col min="20" max="20" width="9.140625" style="25" customWidth="1"/>
    <col min="21" max="21" width="2.28515625" style="25" customWidth="1"/>
    <col min="22" max="22" width="14.42578125" style="25" customWidth="1"/>
    <col min="23" max="23" width="10.7109375" style="25" customWidth="1"/>
    <col min="24" max="24" width="1.7109375" style="25" customWidth="1"/>
    <col min="25" max="25" width="10.7109375" style="25" customWidth="1"/>
    <col min="26" max="26" width="2.28515625" style="25" bestFit="1" customWidth="1"/>
    <col min="27" max="27" width="10.7109375" style="25" customWidth="1"/>
    <col min="28" max="28" width="1.7109375" style="25" customWidth="1"/>
    <col min="29" max="29" width="10.7109375" style="25" customWidth="1"/>
    <col min="30" max="30" width="2.7109375" style="25" customWidth="1"/>
    <col min="31" max="31" width="9.140625" style="25"/>
    <col min="32" max="32" width="1.7109375" style="25" customWidth="1"/>
    <col min="33" max="33" width="9.140625" style="25"/>
    <col min="34" max="34" width="2.28515625" style="25" bestFit="1" customWidth="1"/>
    <col min="35" max="35" width="9.140625" style="25"/>
    <col min="36" max="36" width="1.7109375" style="25" customWidth="1"/>
    <col min="37" max="16384" width="9.140625" style="25"/>
  </cols>
  <sheetData>
    <row r="1" spans="1:44" ht="15.75" customHeight="1" thickBot="1" x14ac:dyDescent="0.3">
      <c r="A1" s="94" t="s">
        <v>67</v>
      </c>
      <c r="B1" s="95"/>
      <c r="C1" s="95"/>
      <c r="D1" s="95"/>
      <c r="E1" s="96"/>
      <c r="F1"/>
      <c r="G1" s="94" t="s">
        <v>102</v>
      </c>
      <c r="H1" s="95"/>
      <c r="I1" s="95"/>
      <c r="J1" s="95"/>
      <c r="K1" s="96"/>
      <c r="L1"/>
      <c r="M1" s="94" t="s">
        <v>101</v>
      </c>
      <c r="N1" s="95"/>
      <c r="O1" s="95"/>
      <c r="P1" s="95"/>
      <c r="Q1" s="96"/>
      <c r="R1"/>
      <c r="S1" s="94" t="s">
        <v>103</v>
      </c>
      <c r="T1" s="95"/>
      <c r="U1" s="95"/>
      <c r="V1" s="95"/>
      <c r="W1" s="96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4" ht="27" thickBot="1" x14ac:dyDescent="0.3">
      <c r="A2" s="23" t="s">
        <v>20</v>
      </c>
      <c r="B2" s="23" t="s">
        <v>21</v>
      </c>
      <c r="C2" s="24" t="s">
        <v>22</v>
      </c>
      <c r="D2" s="23" t="s">
        <v>23</v>
      </c>
      <c r="E2" s="23" t="s">
        <v>24</v>
      </c>
      <c r="F2"/>
      <c r="G2" s="23" t="s">
        <v>20</v>
      </c>
      <c r="H2" s="23" t="s">
        <v>21</v>
      </c>
      <c r="I2" s="24" t="s">
        <v>22</v>
      </c>
      <c r="J2" s="23" t="s">
        <v>23</v>
      </c>
      <c r="K2" s="23" t="s">
        <v>24</v>
      </c>
      <c r="L2"/>
      <c r="M2" s="23" t="s">
        <v>20</v>
      </c>
      <c r="N2" s="23" t="s">
        <v>21</v>
      </c>
      <c r="O2" s="24" t="s">
        <v>22</v>
      </c>
      <c r="P2" s="23" t="s">
        <v>23</v>
      </c>
      <c r="Q2" s="23" t="s">
        <v>24</v>
      </c>
      <c r="R2"/>
      <c r="S2" s="23" t="s">
        <v>20</v>
      </c>
      <c r="T2" s="23" t="s">
        <v>21</v>
      </c>
      <c r="U2" s="24" t="s">
        <v>22</v>
      </c>
      <c r="V2" s="23" t="s">
        <v>23</v>
      </c>
      <c r="W2" s="23" t="s">
        <v>24</v>
      </c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4" ht="15" customHeight="1" thickBot="1" x14ac:dyDescent="0.3">
      <c r="A3" s="91"/>
      <c r="B3" s="92"/>
      <c r="C3" s="92"/>
      <c r="D3" s="92"/>
      <c r="E3" s="93"/>
      <c r="F3"/>
      <c r="G3" s="91"/>
      <c r="H3" s="92"/>
      <c r="I3" s="92"/>
      <c r="J3" s="92"/>
      <c r="K3" s="93"/>
      <c r="L3"/>
      <c r="M3" s="91"/>
      <c r="N3" s="92"/>
      <c r="O3" s="92"/>
      <c r="P3" s="92"/>
      <c r="Q3" s="93"/>
      <c r="R3"/>
      <c r="S3" s="91"/>
      <c r="T3" s="92"/>
      <c r="U3" s="92"/>
      <c r="V3" s="92"/>
      <c r="W3" s="9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4" ht="0.9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4" ht="15" customHeight="1" x14ac:dyDescent="0.25">
      <c r="A5" s="47" t="str">
        <f>'Group League Tables'!$B$5</f>
        <v>China</v>
      </c>
      <c r="B5" s="35"/>
      <c r="C5" s="36" t="s">
        <v>10</v>
      </c>
      <c r="D5" s="35"/>
      <c r="E5" s="48" t="str">
        <f>'Group League Tables'!$B$19</f>
        <v>Cameroon</v>
      </c>
      <c r="F5"/>
      <c r="G5" s="47" t="str">
        <f>IF(AND($B$5=$D$5,$B$6=$D$6,$B$7=$D$7),"",IF(OR($B$5&gt;$D$5,$B$6&gt;$D$6,$B$7&gt;$D$7),$A$5,$E$5))</f>
        <v/>
      </c>
      <c r="H5" s="35"/>
      <c r="I5" s="36" t="s">
        <v>10</v>
      </c>
      <c r="J5" s="35"/>
      <c r="K5" s="48" t="str">
        <f>IF(AND($B$9=$D$9,$B$10=$D$10,$B$11=$D$11),"",IF(OR($B$9&gt;$D$9,$B$10&gt;$D$10,$B$11&gt;$D$11),$A$9,$E$9))</f>
        <v/>
      </c>
      <c r="L5"/>
      <c r="M5" s="47" t="str">
        <f>IF(AND($H$5=$J$5,$H$6=$J$6,$H$7=$J$7),"",IF(OR($H$5&gt;$J$5,$H$6&gt;$J$6,$H$7&gt;$J$7),$G$5,$K$5))</f>
        <v/>
      </c>
      <c r="N5" s="35"/>
      <c r="O5" s="36" t="s">
        <v>10</v>
      </c>
      <c r="P5" s="35"/>
      <c r="Q5" s="48" t="str">
        <f>IF(AND($H$9=$J$9,$H$10=$J$10,$H$11=$J$11),"",IF(OR($H$9&gt;$J$9,$H$10&gt;$J$10,$H$11&gt;$J$11),$G$9,$K$9))</f>
        <v/>
      </c>
      <c r="R5"/>
      <c r="S5" s="47" t="str">
        <f>IF(AND($N$5=$P$5,$N$6=$P$6,$N$7=$P$7),"",IF(OR($N$5&gt;$P$5,$N$6&gt;$P$6,$N$7&gt;$P$7),$M$5,$Q$5))</f>
        <v/>
      </c>
      <c r="T5" s="35"/>
      <c r="U5" s="36" t="s">
        <v>10</v>
      </c>
      <c r="V5" s="35"/>
      <c r="W5" s="48" t="str">
        <f>IF(AND($N$9=$P$9,$N$10=$P$10,$N$11=$P$11),"",IF(OR($N$9&gt;$P$9,$N$10&gt;$P$10,$N$11&gt;$P$11),$M$9,$Q$9))</f>
        <v/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ht="15" customHeight="1" x14ac:dyDescent="0.25">
      <c r="A6" s="25" t="s">
        <v>95</v>
      </c>
      <c r="B6" s="35"/>
      <c r="C6" s="36" t="s">
        <v>10</v>
      </c>
      <c r="D6" s="35"/>
      <c r="F6"/>
      <c r="G6" s="25" t="s">
        <v>95</v>
      </c>
      <c r="H6" s="35"/>
      <c r="I6" s="36" t="s">
        <v>10</v>
      </c>
      <c r="J6" s="35"/>
      <c r="L6"/>
      <c r="M6" s="25" t="s">
        <v>95</v>
      </c>
      <c r="N6" s="35"/>
      <c r="O6" s="36" t="s">
        <v>10</v>
      </c>
      <c r="P6" s="35"/>
      <c r="R6"/>
      <c r="S6" s="25" t="s">
        <v>95</v>
      </c>
      <c r="T6" s="35"/>
      <c r="U6" s="36" t="s">
        <v>10</v>
      </c>
      <c r="V6" s="35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ht="15" customHeight="1" x14ac:dyDescent="0.25">
      <c r="A7" s="25" t="s">
        <v>96</v>
      </c>
      <c r="B7" s="35"/>
      <c r="C7" s="36" t="s">
        <v>10</v>
      </c>
      <c r="D7" s="35"/>
      <c r="F7"/>
      <c r="G7" s="25" t="s">
        <v>96</v>
      </c>
      <c r="H7" s="35"/>
      <c r="I7" s="36" t="s">
        <v>10</v>
      </c>
      <c r="J7" s="35"/>
      <c r="L7"/>
      <c r="M7" s="25" t="s">
        <v>96</v>
      </c>
      <c r="N7" s="35"/>
      <c r="O7" s="36" t="s">
        <v>10</v>
      </c>
      <c r="P7" s="35"/>
      <c r="R7"/>
      <c r="S7" s="25" t="s">
        <v>96</v>
      </c>
      <c r="T7" s="35"/>
      <c r="U7" s="36" t="s">
        <v>10</v>
      </c>
      <c r="V7" s="35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ht="15" customHeight="1" thickBot="1" x14ac:dyDescent="0.3">
      <c r="F8"/>
      <c r="L8"/>
      <c r="M8"/>
      <c r="N8"/>
      <c r="O8"/>
      <c r="P8"/>
      <c r="Q8"/>
      <c r="R8"/>
      <c r="S8"/>
      <c r="T8"/>
      <c r="U8"/>
      <c r="V8" s="70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15" customHeight="1" thickBot="1" x14ac:dyDescent="0.3">
      <c r="A9" s="47" t="str">
        <f>'Group League Tables'!$B$25</f>
        <v>USA</v>
      </c>
      <c r="B9" s="35"/>
      <c r="C9" s="36" t="s">
        <v>10</v>
      </c>
      <c r="D9" s="35"/>
      <c r="E9" s="48" t="str">
        <f>INDEX(League_Table_Third_place[Team],MATCH('Third Place Rankings Table'!$L$2,League_Table_Third_place[Group],0))</f>
        <v>Colombia</v>
      </c>
      <c r="F9"/>
      <c r="G9" s="47" t="str">
        <f>IF(AND($B$13=$D$13,$B$14=$D$14,$B$15=$D$15),"",IF(OR($B$13&gt;$D$13,$B$14&gt;$D$14,$B$15&gt;$D$15),$A$13,$E$13))</f>
        <v/>
      </c>
      <c r="H9" s="35"/>
      <c r="I9" s="36" t="s">
        <v>10</v>
      </c>
      <c r="J9" s="35"/>
      <c r="K9" s="48" t="str">
        <f>IF(AND($B$17=$D$17,$B$18=$D$18,$B$19=$D$19),"",IF(OR($B$17&gt;$D$17,$B$18&gt;$D$18,$B$19&gt;$D$19),$A$17,$E$17))</f>
        <v/>
      </c>
      <c r="L9"/>
      <c r="M9" s="47" t="str">
        <f>IF(AND($H$13=$J$13,$H$14=$J$14,$H$15=$J$15),"",IF(OR($H$13&gt;$J$13,$H$14&gt;$J$14,$H$15&gt;$J$15),$G$13,$K$13))</f>
        <v/>
      </c>
      <c r="N9" s="35"/>
      <c r="O9" s="36" t="s">
        <v>10</v>
      </c>
      <c r="P9" s="35"/>
      <c r="Q9" s="48" t="str">
        <f>IF(AND($H$17=$J$17,$H$18=$J$18,$H$19=$J$19),"",IF(OR($H$17&gt;$J$17,$H$18&gt;$J$18,$H$19&gt;$J$19),$G$17,$K$17))</f>
        <v/>
      </c>
      <c r="R9"/>
      <c r="S9" s="94" t="s">
        <v>104</v>
      </c>
      <c r="T9" s="95"/>
      <c r="U9" s="95"/>
      <c r="V9" s="95"/>
      <c r="W9" s="96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ht="15" customHeight="1" x14ac:dyDescent="0.25">
      <c r="A10" s="25" t="s">
        <v>95</v>
      </c>
      <c r="B10" s="35"/>
      <c r="C10" s="36" t="s">
        <v>10</v>
      </c>
      <c r="D10" s="35"/>
      <c r="E10"/>
      <c r="F10"/>
      <c r="G10" s="25" t="s">
        <v>95</v>
      </c>
      <c r="H10" s="35"/>
      <c r="I10" s="36" t="s">
        <v>10</v>
      </c>
      <c r="J10" s="35"/>
      <c r="L10"/>
      <c r="M10" s="25" t="s">
        <v>95</v>
      </c>
      <c r="N10" s="35"/>
      <c r="O10" s="36" t="s">
        <v>10</v>
      </c>
      <c r="P10" s="35"/>
      <c r="R10"/>
      <c r="S10" s="47" t="str">
        <f>IF(AND($N$5=$P$5,$N$6=$P$6,$N$7=$P$7),"",IF(OR($N$5&gt;$P$5,$N$6&gt;$P$6,$N$7&gt;$P$7),$Q$5,$M$5))</f>
        <v/>
      </c>
      <c r="T10" s="35"/>
      <c r="U10" s="36" t="s">
        <v>10</v>
      </c>
      <c r="V10" s="35"/>
      <c r="W10" s="48" t="str">
        <f>IF(AND($N$9=$P$9,$N$10=$P$10,$N$11=$P$11),"",IF(OR($N$9&gt;$P$9,$N$10&gt;$P$10,$N$11&gt;$P$11),$Q$9,$M$9))</f>
        <v/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ht="15" customHeight="1" x14ac:dyDescent="0.2">
      <c r="A11" s="25" t="s">
        <v>96</v>
      </c>
      <c r="B11" s="35"/>
      <c r="C11" s="36" t="s">
        <v>10</v>
      </c>
      <c r="D11" s="35"/>
      <c r="G11" s="25" t="s">
        <v>96</v>
      </c>
      <c r="H11" s="35"/>
      <c r="I11" s="36" t="s">
        <v>10</v>
      </c>
      <c r="J11" s="35"/>
      <c r="M11" s="25" t="s">
        <v>96</v>
      </c>
      <c r="N11" s="35"/>
      <c r="O11" s="36" t="s">
        <v>10</v>
      </c>
      <c r="P11" s="35"/>
      <c r="S11" s="25" t="s">
        <v>95</v>
      </c>
      <c r="T11" s="35"/>
      <c r="U11" s="36" t="s">
        <v>10</v>
      </c>
      <c r="V11" s="35"/>
    </row>
    <row r="12" spans="1:44" ht="15" customHeight="1" x14ac:dyDescent="0.2">
      <c r="S12" s="25" t="s">
        <v>96</v>
      </c>
      <c r="T12" s="35"/>
      <c r="U12" s="36" t="s">
        <v>10</v>
      </c>
      <c r="V12" s="35"/>
    </row>
    <row r="13" spans="1:44" ht="15" customHeight="1" x14ac:dyDescent="0.2">
      <c r="A13" s="45" t="str">
        <f>'Group League Tables'!$B$11</f>
        <v>Germany</v>
      </c>
      <c r="B13" s="35"/>
      <c r="C13" s="36" t="s">
        <v>10</v>
      </c>
      <c r="D13" s="35"/>
      <c r="E13" s="46" t="str">
        <f>INDEX(League_Table_Third_place[Team],MATCH('Third Place Rankings Table'!$J$2,League_Table_Third_place[Group],0))</f>
        <v>Sweden</v>
      </c>
      <c r="G13" s="47" t="str">
        <f>IF(AND($B$21=$D$21,$B$22=$D$22,$B$23=$D$23),"",IF(OR($B$21&gt;$D$21,$B$22&gt;$D$22,$B$23&gt;$D$23),$A$21,$E$21))</f>
        <v/>
      </c>
      <c r="H13" s="35"/>
      <c r="I13" s="36" t="s">
        <v>10</v>
      </c>
      <c r="J13" s="35"/>
      <c r="K13" s="48" t="str">
        <f>IF(AND($B$25=$D$25,$B$26=$D$26,$B$27=$D$27),"",IF(OR($B$25&gt;$D$25,$B$26&gt;$D$26,$B$27&gt;$D$27),$A$25,$E$25))</f>
        <v/>
      </c>
    </row>
    <row r="14" spans="1:44" ht="15" customHeight="1" thickBot="1" x14ac:dyDescent="0.3">
      <c r="A14" s="25" t="s">
        <v>95</v>
      </c>
      <c r="B14" s="35"/>
      <c r="C14" s="36" t="s">
        <v>10</v>
      </c>
      <c r="D14" s="35"/>
      <c r="E14"/>
      <c r="G14" s="25" t="s">
        <v>95</v>
      </c>
      <c r="H14" s="35"/>
      <c r="I14" s="36" t="s">
        <v>10</v>
      </c>
      <c r="J14" s="35"/>
    </row>
    <row r="15" spans="1:44" ht="15" customHeight="1" thickBot="1" x14ac:dyDescent="0.25">
      <c r="A15" s="25" t="s">
        <v>96</v>
      </c>
      <c r="B15" s="35"/>
      <c r="C15" s="36" t="s">
        <v>10</v>
      </c>
      <c r="D15" s="35"/>
      <c r="G15" s="25" t="s">
        <v>96</v>
      </c>
      <c r="H15" s="35"/>
      <c r="I15" s="36" t="s">
        <v>10</v>
      </c>
      <c r="J15" s="35"/>
      <c r="S15" s="106" t="s">
        <v>111</v>
      </c>
      <c r="T15" s="107"/>
      <c r="U15" s="107"/>
      <c r="V15" s="107"/>
      <c r="W15" s="108"/>
    </row>
    <row r="16" spans="1:44" ht="15" customHeight="1" x14ac:dyDescent="0.2">
      <c r="S16" s="97" t="str">
        <f>IF(OR($T$5="",$T$5=$V$5,$T$6=$V$6),"",IF(OR($T$5&gt;$V$5,$T$6&gt;$V$6,$T$7&gt;$V$7),$S$5,$W$5))</f>
        <v/>
      </c>
      <c r="T16" s="98"/>
      <c r="U16" s="98"/>
      <c r="V16" s="98"/>
      <c r="W16" s="99"/>
    </row>
    <row r="17" spans="1:23" ht="15" customHeight="1" x14ac:dyDescent="0.2">
      <c r="A17" s="45" t="str">
        <f>'Group League Tables'!$B$39</f>
        <v>France</v>
      </c>
      <c r="B17" s="43"/>
      <c r="C17" s="44" t="s">
        <v>10</v>
      </c>
      <c r="D17" s="43"/>
      <c r="E17" s="46" t="str">
        <f>'Group League Tables'!$B$33</f>
        <v>Costa Rica</v>
      </c>
      <c r="G17" s="47" t="str">
        <f>IF(AND($B$29=$D$29,$B$30=$D$30,$B$31=$D$31),"",IF(OR($B$29&gt;$D$29,$B$30&gt;$D$30,$B$31&gt;$D$31),$A$29,$E$29))</f>
        <v/>
      </c>
      <c r="H17" s="35"/>
      <c r="I17" s="36" t="s">
        <v>10</v>
      </c>
      <c r="J17" s="35"/>
      <c r="K17" s="48" t="str">
        <f>IF(AND($B$33=$D$33,$B$34=$D$34,$B$35=$D$35),"",IF(OR($B$33&gt;$D$33,$B$34&gt;$D$34,$B$35&gt;$D$35),$A$33,$E$33))</f>
        <v/>
      </c>
      <c r="S17" s="100"/>
      <c r="T17" s="101"/>
      <c r="U17" s="101"/>
      <c r="V17" s="101"/>
      <c r="W17" s="102"/>
    </row>
    <row r="18" spans="1:23" ht="15" customHeight="1" thickBot="1" x14ac:dyDescent="0.3">
      <c r="A18" s="25" t="s">
        <v>95</v>
      </c>
      <c r="B18" s="35"/>
      <c r="C18" s="36" t="s">
        <v>10</v>
      </c>
      <c r="D18" s="35"/>
      <c r="E18"/>
      <c r="G18" s="25" t="s">
        <v>95</v>
      </c>
      <c r="H18" s="35"/>
      <c r="I18" s="36" t="s">
        <v>10</v>
      </c>
      <c r="J18" s="35"/>
      <c r="S18" s="103"/>
      <c r="T18" s="104"/>
      <c r="U18" s="104"/>
      <c r="V18" s="104"/>
      <c r="W18" s="105"/>
    </row>
    <row r="19" spans="1:23" ht="15" customHeight="1" x14ac:dyDescent="0.2">
      <c r="A19" s="25" t="s">
        <v>96</v>
      </c>
      <c r="B19" s="35"/>
      <c r="C19" s="36" t="s">
        <v>10</v>
      </c>
      <c r="D19" s="35"/>
      <c r="G19" s="25" t="s">
        <v>96</v>
      </c>
      <c r="H19" s="35"/>
      <c r="I19" s="36" t="s">
        <v>10</v>
      </c>
      <c r="J19" s="35"/>
    </row>
    <row r="20" spans="1:23" ht="15" customHeight="1" x14ac:dyDescent="0.2"/>
    <row r="21" spans="1:23" ht="15" customHeight="1" x14ac:dyDescent="0.2">
      <c r="A21" s="45" t="str">
        <f>'Group League Tables'!$B$32</f>
        <v>Brazil</v>
      </c>
      <c r="B21" s="35"/>
      <c r="C21" s="36" t="s">
        <v>10</v>
      </c>
      <c r="D21" s="35"/>
      <c r="E21" s="46" t="str">
        <f>'Group League Tables'!$B$26</f>
        <v>Australia</v>
      </c>
    </row>
    <row r="22" spans="1:23" ht="15" customHeight="1" x14ac:dyDescent="0.2">
      <c r="A22" s="25" t="s">
        <v>95</v>
      </c>
      <c r="B22" s="35"/>
      <c r="C22" s="36" t="s">
        <v>10</v>
      </c>
      <c r="D22" s="35"/>
    </row>
    <row r="23" spans="1:23" ht="15" customHeight="1" x14ac:dyDescent="0.2">
      <c r="A23" s="25" t="s">
        <v>96</v>
      </c>
      <c r="B23" s="35"/>
      <c r="C23" s="36" t="s">
        <v>10</v>
      </c>
      <c r="D23" s="35"/>
    </row>
    <row r="25" spans="1:23" x14ac:dyDescent="0.2">
      <c r="A25" s="45" t="str">
        <f>'Group League Tables'!$B$18</f>
        <v>Japan</v>
      </c>
      <c r="B25" s="35"/>
      <c r="C25" s="36" t="s">
        <v>10</v>
      </c>
      <c r="D25" s="35"/>
      <c r="E25" s="46" t="str">
        <f>INDEX(League_Table_Third_place[Team],MATCH('Third Place Rankings Table'!$K$2,League_Table_Third_place[Group],0))</f>
        <v>Netherlands</v>
      </c>
    </row>
    <row r="26" spans="1:23" ht="15" x14ac:dyDescent="0.25">
      <c r="A26" s="25" t="s">
        <v>95</v>
      </c>
      <c r="B26" s="35"/>
      <c r="C26" s="36" t="s">
        <v>10</v>
      </c>
      <c r="D26" s="35"/>
      <c r="E26"/>
    </row>
    <row r="27" spans="1:23" x14ac:dyDescent="0.2">
      <c r="A27" s="25" t="s">
        <v>96</v>
      </c>
      <c r="B27" s="35"/>
      <c r="C27" s="36" t="s">
        <v>10</v>
      </c>
      <c r="D27" s="35"/>
    </row>
    <row r="29" spans="1:23" x14ac:dyDescent="0.2">
      <c r="A29" s="45" t="str">
        <f>'Group League Tables'!$B$12</f>
        <v>Norway</v>
      </c>
      <c r="B29" s="35"/>
      <c r="C29" s="36" t="s">
        <v>10</v>
      </c>
      <c r="D29" s="35"/>
      <c r="E29" s="46" t="str">
        <f>'Group League Tables'!$B$40</f>
        <v>England</v>
      </c>
    </row>
    <row r="30" spans="1:23" x14ac:dyDescent="0.2">
      <c r="A30" s="25" t="s">
        <v>95</v>
      </c>
      <c r="B30" s="35"/>
      <c r="C30" s="36" t="s">
        <v>10</v>
      </c>
      <c r="D30" s="35"/>
    </row>
    <row r="31" spans="1:23" x14ac:dyDescent="0.2">
      <c r="A31" s="25" t="s">
        <v>96</v>
      </c>
      <c r="B31" s="35"/>
      <c r="C31" s="36" t="s">
        <v>10</v>
      </c>
      <c r="D31" s="35"/>
    </row>
    <row r="33" spans="1:5" x14ac:dyDescent="0.2">
      <c r="A33" s="45" t="str">
        <f>'Group League Tables'!$B$4</f>
        <v>Canada</v>
      </c>
      <c r="B33" s="35"/>
      <c r="C33" s="36" t="s">
        <v>10</v>
      </c>
      <c r="D33" s="35"/>
      <c r="E33" s="46" t="str">
        <f>INDEX(League_Table_Third_place[Team],MATCH('Third Place Rankings Table'!$I$2,League_Table_Third_place[Group],0))</f>
        <v>Switzerland</v>
      </c>
    </row>
    <row r="34" spans="1:5" x14ac:dyDescent="0.2">
      <c r="A34" s="25" t="s">
        <v>95</v>
      </c>
      <c r="B34" s="35"/>
      <c r="C34" s="36" t="s">
        <v>10</v>
      </c>
      <c r="D34" s="35"/>
    </row>
    <row r="35" spans="1:5" x14ac:dyDescent="0.2">
      <c r="A35" s="25" t="s">
        <v>96</v>
      </c>
      <c r="B35" s="35"/>
      <c r="C35" s="36" t="s">
        <v>10</v>
      </c>
      <c r="D35" s="35"/>
    </row>
  </sheetData>
  <mergeCells count="11">
    <mergeCell ref="S16:W18"/>
    <mergeCell ref="S15:W15"/>
    <mergeCell ref="S9:W9"/>
    <mergeCell ref="S1:W1"/>
    <mergeCell ref="S3:W3"/>
    <mergeCell ref="A3:E3"/>
    <mergeCell ref="A1:E1"/>
    <mergeCell ref="G1:K1"/>
    <mergeCell ref="G3:K3"/>
    <mergeCell ref="M1:Q1"/>
    <mergeCell ref="M3:Q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</vt:lpstr>
      <vt:lpstr>Teams</vt:lpstr>
      <vt:lpstr>Group Fixtures</vt:lpstr>
      <vt:lpstr>Calculations</vt:lpstr>
      <vt:lpstr>Third Place Rankings Table</vt:lpstr>
      <vt:lpstr>Group League Tables</vt:lpstr>
      <vt:lpstr>Knockout Stages</vt:lpstr>
    </vt:vector>
  </TitlesOfParts>
  <Company>Enliten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Computergaga</cp:lastModifiedBy>
  <cp:lastPrinted>2014-06-29T09:33:48Z</cp:lastPrinted>
  <dcterms:created xsi:type="dcterms:W3CDTF">2013-05-18T17:29:52Z</dcterms:created>
  <dcterms:modified xsi:type="dcterms:W3CDTF">2015-06-22T05:43:50Z</dcterms:modified>
</cp:coreProperties>
</file>