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2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pivotTables/pivotTable1.xml" ContentType="application/vnd.openxmlformats-officedocument.spreadsheetml.pivotTable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rainee1\Documents\Computergaga\excel\files\"/>
    </mc:Choice>
  </mc:AlternateContent>
  <bookViews>
    <workbookView xWindow="120" yWindow="60" windowWidth="9435" windowHeight="4875" activeTab="1"/>
  </bookViews>
  <sheets>
    <sheet name="Group Stages" sheetId="19" r:id="rId1"/>
    <sheet name="Knockout Stages" sheetId="10" r:id="rId2"/>
    <sheet name="Calculations" sheetId="6" state="hidden" r:id="rId3"/>
    <sheet name="League Tables" sheetId="20" state="hidden" r:id="rId4"/>
  </sheets>
  <definedNames>
    <definedName name="Teams">#REF!</definedName>
  </definedNames>
  <calcPr calcId="152511" iterate="1" calcOnSave="0"/>
  <pivotCaches>
    <pivotCache cacheId="0" r:id="rId5"/>
  </pivotCaches>
</workbook>
</file>

<file path=xl/calcChain.xml><?xml version="1.0" encoding="utf-8"?>
<calcChain xmlns="http://schemas.openxmlformats.org/spreadsheetml/2006/main">
  <c r="H46" i="20" l="1"/>
  <c r="Q23" i="10" l="1"/>
  <c r="M23" i="10"/>
  <c r="Q18" i="10"/>
  <c r="M18" i="10"/>
  <c r="Q13" i="10"/>
  <c r="M13" i="10"/>
  <c r="Q8" i="10"/>
  <c r="M8" i="10"/>
  <c r="I39" i="6"/>
  <c r="I40" i="6"/>
  <c r="I41" i="6"/>
  <c r="I38" i="6"/>
  <c r="I32" i="6"/>
  <c r="I33" i="6"/>
  <c r="I34" i="6"/>
  <c r="I31" i="6"/>
  <c r="I25" i="6"/>
  <c r="I26" i="6"/>
  <c r="I27" i="6"/>
  <c r="I24" i="6"/>
  <c r="I18" i="6"/>
  <c r="I19" i="6"/>
  <c r="I20" i="6"/>
  <c r="I17" i="6"/>
  <c r="I11" i="6"/>
  <c r="I12" i="6"/>
  <c r="I13" i="6"/>
  <c r="I10" i="6"/>
  <c r="I4" i="6"/>
  <c r="I5" i="6"/>
  <c r="I6" i="6"/>
  <c r="I3" i="6"/>
  <c r="H39" i="6"/>
  <c r="K39" i="6" s="1"/>
  <c r="H40" i="6"/>
  <c r="K40" i="6" s="1"/>
  <c r="H41" i="6"/>
  <c r="K41" i="6" s="1"/>
  <c r="H38" i="6"/>
  <c r="K38" i="6" s="1"/>
  <c r="H32" i="6"/>
  <c r="K32" i="6" s="1"/>
  <c r="H33" i="6"/>
  <c r="K33" i="6" s="1"/>
  <c r="H34" i="6"/>
  <c r="K34" i="6" s="1"/>
  <c r="H31" i="6"/>
  <c r="K31" i="6" s="1"/>
  <c r="H25" i="6"/>
  <c r="K25" i="6" s="1"/>
  <c r="H26" i="6"/>
  <c r="K26" i="6" s="1"/>
  <c r="H27" i="6"/>
  <c r="K27" i="6" s="1"/>
  <c r="H24" i="6"/>
  <c r="K24" i="6" s="1"/>
  <c r="H18" i="6"/>
  <c r="K18" i="6" s="1"/>
  <c r="H19" i="6"/>
  <c r="K19" i="6" s="1"/>
  <c r="H20" i="6"/>
  <c r="K20" i="6" s="1"/>
  <c r="H17" i="6"/>
  <c r="K17" i="6" s="1"/>
  <c r="H11" i="6"/>
  <c r="K11" i="6" s="1"/>
  <c r="H12" i="6"/>
  <c r="H13" i="6"/>
  <c r="K13" i="6" s="1"/>
  <c r="H10" i="6"/>
  <c r="K10" i="6" s="1"/>
  <c r="H4" i="6"/>
  <c r="H5" i="6"/>
  <c r="K5" i="6" s="1"/>
  <c r="H6" i="6"/>
  <c r="K6" i="6" s="1"/>
  <c r="H3" i="6"/>
  <c r="K3" i="6" s="1"/>
  <c r="G39" i="6"/>
  <c r="G40" i="6"/>
  <c r="G41" i="6"/>
  <c r="G38" i="6"/>
  <c r="G32" i="6"/>
  <c r="G33" i="6"/>
  <c r="G34" i="6"/>
  <c r="G31" i="6"/>
  <c r="G25" i="6"/>
  <c r="G26" i="6"/>
  <c r="G27" i="6"/>
  <c r="G24" i="6"/>
  <c r="G18" i="6"/>
  <c r="G19" i="6"/>
  <c r="G20" i="6"/>
  <c r="G17" i="6"/>
  <c r="G11" i="6"/>
  <c r="G12" i="6"/>
  <c r="G13" i="6"/>
  <c r="G10" i="6"/>
  <c r="G4" i="6"/>
  <c r="G5" i="6"/>
  <c r="G6" i="6"/>
  <c r="G3" i="6"/>
  <c r="F39" i="6"/>
  <c r="F40" i="6"/>
  <c r="F41" i="6"/>
  <c r="F38" i="6"/>
  <c r="F32" i="6"/>
  <c r="F33" i="6"/>
  <c r="F34" i="6"/>
  <c r="F31" i="6"/>
  <c r="F25" i="6"/>
  <c r="F26" i="6"/>
  <c r="F27" i="6"/>
  <c r="F24" i="6"/>
  <c r="F18" i="6"/>
  <c r="F19" i="6"/>
  <c r="F20" i="6"/>
  <c r="F17" i="6"/>
  <c r="F11" i="6"/>
  <c r="F12" i="6"/>
  <c r="F13" i="6"/>
  <c r="F10" i="6"/>
  <c r="F4" i="6"/>
  <c r="F5" i="6"/>
  <c r="F6" i="6"/>
  <c r="F3" i="6"/>
  <c r="E39" i="6"/>
  <c r="J39" i="6" s="1"/>
  <c r="E40" i="6"/>
  <c r="J40" i="6" s="1"/>
  <c r="E41" i="6"/>
  <c r="J41" i="6" s="1"/>
  <c r="E38" i="6"/>
  <c r="J38" i="6" s="1"/>
  <c r="E32" i="6"/>
  <c r="J32" i="6" s="1"/>
  <c r="E33" i="6"/>
  <c r="J33" i="6" s="1"/>
  <c r="E34" i="6"/>
  <c r="J34" i="6" s="1"/>
  <c r="E31" i="6"/>
  <c r="J31" i="6" s="1"/>
  <c r="E25" i="6"/>
  <c r="E26" i="6"/>
  <c r="J26" i="6" s="1"/>
  <c r="E27" i="6"/>
  <c r="J27" i="6" s="1"/>
  <c r="E24" i="6"/>
  <c r="J24" i="6" s="1"/>
  <c r="E18" i="6"/>
  <c r="J18" i="6" s="1"/>
  <c r="E19" i="6"/>
  <c r="E20" i="6"/>
  <c r="J20" i="6" s="1"/>
  <c r="E17" i="6"/>
  <c r="J17" i="6" s="1"/>
  <c r="E11" i="6"/>
  <c r="J11" i="6" s="1"/>
  <c r="E12" i="6"/>
  <c r="J12" i="6" s="1"/>
  <c r="E13" i="6"/>
  <c r="J13" i="6" s="1"/>
  <c r="E10" i="6"/>
  <c r="J10" i="6" s="1"/>
  <c r="E4" i="6"/>
  <c r="J4" i="6" s="1"/>
  <c r="E5" i="6"/>
  <c r="J5" i="6" s="1"/>
  <c r="E6" i="6"/>
  <c r="J6" i="6" s="1"/>
  <c r="E3" i="6"/>
  <c r="J3" i="6" s="1"/>
  <c r="D39" i="6"/>
  <c r="D40" i="6"/>
  <c r="D41" i="6"/>
  <c r="D38" i="6"/>
  <c r="D32" i="6"/>
  <c r="D33" i="6"/>
  <c r="D34" i="6"/>
  <c r="D31" i="6"/>
  <c r="D25" i="6"/>
  <c r="D26" i="6"/>
  <c r="D27" i="6"/>
  <c r="D24" i="6"/>
  <c r="D18" i="6"/>
  <c r="D19" i="6"/>
  <c r="D20" i="6"/>
  <c r="D17" i="6"/>
  <c r="D11" i="6"/>
  <c r="D12" i="6"/>
  <c r="D13" i="6"/>
  <c r="D10" i="6"/>
  <c r="D4" i="6"/>
  <c r="D5" i="6"/>
  <c r="D6" i="6"/>
  <c r="D3" i="6"/>
  <c r="K12" i="6" l="1"/>
  <c r="J46" i="6"/>
  <c r="J48" i="6"/>
  <c r="J50" i="6"/>
  <c r="J47" i="6"/>
  <c r="J49" i="6"/>
  <c r="J45" i="6"/>
  <c r="J19" i="6"/>
  <c r="J25" i="6"/>
  <c r="L24" i="6" s="1"/>
  <c r="K4" i="6"/>
  <c r="N26" i="6"/>
  <c r="L25" i="6" l="1"/>
  <c r="L27" i="6"/>
  <c r="L26" i="6"/>
  <c r="M25" i="6"/>
  <c r="N25" i="6"/>
  <c r="M27" i="6"/>
  <c r="N27" i="6"/>
  <c r="M24" i="6"/>
  <c r="M26" i="6"/>
  <c r="B26" i="6" s="1"/>
  <c r="N24" i="6"/>
  <c r="L11" i="6"/>
  <c r="N11" i="6"/>
  <c r="N12" i="6"/>
  <c r="N13" i="6"/>
  <c r="N10" i="6"/>
  <c r="M11" i="6"/>
  <c r="M12" i="6"/>
  <c r="M13" i="6"/>
  <c r="M10" i="6"/>
  <c r="L10" i="6"/>
  <c r="L13" i="6"/>
  <c r="L12" i="6"/>
  <c r="L33" i="6"/>
  <c r="L40" i="6"/>
  <c r="B13" i="6" l="1"/>
  <c r="B12" i="6"/>
  <c r="B10" i="6"/>
  <c r="B24" i="6"/>
  <c r="B27" i="6"/>
  <c r="B25" i="6"/>
  <c r="B11" i="6"/>
  <c r="A24" i="6"/>
  <c r="A10" i="6"/>
  <c r="N4" i="6"/>
  <c r="N5" i="6"/>
  <c r="N6" i="6"/>
  <c r="L19" i="6"/>
  <c r="N19" i="6"/>
  <c r="M19" i="6"/>
  <c r="Q35" i="10"/>
  <c r="Q41" i="10" s="1"/>
  <c r="M35" i="10"/>
  <c r="N18" i="6"/>
  <c r="N20" i="6"/>
  <c r="N17" i="6"/>
  <c r="M18" i="6"/>
  <c r="M20" i="6"/>
  <c r="M17" i="6"/>
  <c r="L17" i="6"/>
  <c r="L20" i="6"/>
  <c r="L18" i="6"/>
  <c r="L39" i="6"/>
  <c r="L34" i="6"/>
  <c r="L32" i="6"/>
  <c r="L41" i="6"/>
  <c r="L31" i="6"/>
  <c r="M31" i="6"/>
  <c r="M34" i="6"/>
  <c r="M33" i="6"/>
  <c r="M32" i="6"/>
  <c r="N31" i="6"/>
  <c r="N34" i="6"/>
  <c r="N33" i="6"/>
  <c r="N32" i="6"/>
  <c r="L38" i="6"/>
  <c r="M38" i="6"/>
  <c r="M41" i="6"/>
  <c r="M40" i="6"/>
  <c r="M39" i="6"/>
  <c r="N38" i="6"/>
  <c r="N41" i="6"/>
  <c r="N40" i="6"/>
  <c r="N39" i="6"/>
  <c r="M4" i="6"/>
  <c r="M6" i="6"/>
  <c r="N3" i="6"/>
  <c r="M5" i="6"/>
  <c r="M3" i="6"/>
  <c r="L6" i="6"/>
  <c r="B6" i="6" s="1"/>
  <c r="L5" i="6"/>
  <c r="L3" i="6"/>
  <c r="L4" i="6"/>
  <c r="B4" i="6" l="1"/>
  <c r="B5" i="6"/>
  <c r="B18" i="6"/>
  <c r="B17" i="6"/>
  <c r="A17" i="6" s="1"/>
  <c r="B40" i="6"/>
  <c r="B38" i="6"/>
  <c r="B41" i="6"/>
  <c r="B39" i="6"/>
  <c r="B33" i="6"/>
  <c r="B34" i="6"/>
  <c r="B31" i="6"/>
  <c r="B32" i="6"/>
  <c r="B20" i="6"/>
  <c r="B19" i="6"/>
  <c r="B3" i="6"/>
  <c r="A12" i="6"/>
  <c r="A13" i="6"/>
  <c r="A11" i="6"/>
  <c r="G12" i="20" s="1"/>
  <c r="G46" i="6" s="1"/>
  <c r="A27" i="6"/>
  <c r="A25" i="6"/>
  <c r="A26" i="6"/>
  <c r="M30" i="10"/>
  <c r="A3" i="6"/>
  <c r="A38" i="6"/>
  <c r="A31" i="6"/>
  <c r="A32" i="6" l="1"/>
  <c r="I11" i="20"/>
  <c r="G25" i="20"/>
  <c r="I27" i="20"/>
  <c r="I25" i="20"/>
  <c r="C24" i="20"/>
  <c r="E24" i="20"/>
  <c r="G24" i="20"/>
  <c r="I24" i="20"/>
  <c r="B24" i="20"/>
  <c r="D24" i="20"/>
  <c r="F24" i="20"/>
  <c r="I26" i="20"/>
  <c r="E48" i="6" s="1"/>
  <c r="I17" i="20"/>
  <c r="I10" i="20"/>
  <c r="I13" i="20"/>
  <c r="I12" i="20"/>
  <c r="E46" i="6" s="1"/>
  <c r="G17" i="20"/>
  <c r="F17" i="20"/>
  <c r="E17" i="20"/>
  <c r="D17" i="20"/>
  <c r="C17" i="20"/>
  <c r="B17" i="20"/>
  <c r="B27" i="20"/>
  <c r="C27" i="20"/>
  <c r="D27" i="20"/>
  <c r="E27" i="20"/>
  <c r="F27" i="20"/>
  <c r="G27" i="20"/>
  <c r="B26" i="20"/>
  <c r="C26" i="20"/>
  <c r="D26" i="20"/>
  <c r="E26" i="20"/>
  <c r="F26" i="20"/>
  <c r="F48" i="6" s="1"/>
  <c r="G26" i="20"/>
  <c r="G48" i="6" s="1"/>
  <c r="B25" i="20"/>
  <c r="C25" i="20"/>
  <c r="D25" i="20"/>
  <c r="E25" i="20"/>
  <c r="F25" i="20"/>
  <c r="B11" i="20"/>
  <c r="D11" i="20"/>
  <c r="F11" i="20"/>
  <c r="C11" i="20"/>
  <c r="E11" i="20"/>
  <c r="G11" i="20"/>
  <c r="B10" i="20"/>
  <c r="C10" i="20"/>
  <c r="D10" i="20"/>
  <c r="E10" i="20"/>
  <c r="F10" i="20"/>
  <c r="G10" i="20"/>
  <c r="B13" i="20"/>
  <c r="C13" i="20"/>
  <c r="D13" i="20"/>
  <c r="E13" i="20"/>
  <c r="F13" i="20"/>
  <c r="G13" i="20"/>
  <c r="B12" i="20"/>
  <c r="C12" i="20"/>
  <c r="D12" i="20"/>
  <c r="E12" i="20"/>
  <c r="F12" i="20"/>
  <c r="F46" i="6" s="1"/>
  <c r="A18" i="6"/>
  <c r="A34" i="6"/>
  <c r="A20" i="6"/>
  <c r="A19" i="6"/>
  <c r="A41" i="6"/>
  <c r="A5" i="6"/>
  <c r="A4" i="6"/>
  <c r="A6" i="6"/>
  <c r="A39" i="6"/>
  <c r="D38" i="20" s="1"/>
  <c r="A40" i="6"/>
  <c r="A33" i="6"/>
  <c r="F31" i="20" s="1"/>
  <c r="Q30" i="10"/>
  <c r="M41" i="10" s="1"/>
  <c r="F38" i="20" l="1"/>
  <c r="B38" i="20"/>
  <c r="G39" i="20"/>
  <c r="C38" i="20"/>
  <c r="E38" i="20"/>
  <c r="G38" i="20"/>
  <c r="I38" i="20"/>
  <c r="I41" i="20"/>
  <c r="I40" i="20"/>
  <c r="E50" i="6" s="1"/>
  <c r="I39" i="20"/>
  <c r="I3" i="20"/>
  <c r="I33" i="20"/>
  <c r="E49" i="6" s="1"/>
  <c r="C32" i="20"/>
  <c r="E32" i="20"/>
  <c r="G32" i="20"/>
  <c r="B32" i="20"/>
  <c r="D32" i="20"/>
  <c r="F32" i="20"/>
  <c r="I32" i="20"/>
  <c r="C31" i="20"/>
  <c r="E31" i="20"/>
  <c r="G31" i="20"/>
  <c r="I31" i="20"/>
  <c r="I34" i="20"/>
  <c r="B31" i="20"/>
  <c r="D31" i="20"/>
  <c r="C48" i="6"/>
  <c r="M43" i="20"/>
  <c r="M39" i="20"/>
  <c r="M32" i="20"/>
  <c r="L41" i="20"/>
  <c r="L36" i="20"/>
  <c r="M45" i="20"/>
  <c r="M42" i="20"/>
  <c r="M38" i="20"/>
  <c r="M46" i="20"/>
  <c r="L35" i="20"/>
  <c r="H38" i="10"/>
  <c r="D18" i="10"/>
  <c r="I19" i="20"/>
  <c r="E47" i="6" s="1"/>
  <c r="I20" i="20"/>
  <c r="I18" i="20"/>
  <c r="D43" i="10"/>
  <c r="D13" i="10"/>
  <c r="C46" i="6"/>
  <c r="O32" i="20"/>
  <c r="N45" i="20"/>
  <c r="N43" i="20"/>
  <c r="N37" i="20"/>
  <c r="N35" i="20"/>
  <c r="N33" i="20"/>
  <c r="N44" i="20"/>
  <c r="N42" i="20"/>
  <c r="N36" i="20"/>
  <c r="N34" i="20"/>
  <c r="I4" i="20"/>
  <c r="I6" i="20"/>
  <c r="I5" i="20"/>
  <c r="E45" i="6" s="1"/>
  <c r="G34" i="20"/>
  <c r="G20" i="20"/>
  <c r="B33" i="20"/>
  <c r="C33" i="20"/>
  <c r="D33" i="20"/>
  <c r="E33" i="20"/>
  <c r="F33" i="20"/>
  <c r="F49" i="6" s="1"/>
  <c r="G33" i="20"/>
  <c r="G49" i="6" s="1"/>
  <c r="C19" i="20"/>
  <c r="E19" i="20"/>
  <c r="G19" i="20"/>
  <c r="G47" i="6" s="1"/>
  <c r="B18" i="20"/>
  <c r="C18" i="20"/>
  <c r="D18" i="20"/>
  <c r="E18" i="20"/>
  <c r="F18" i="20"/>
  <c r="G18" i="20"/>
  <c r="B41" i="20"/>
  <c r="C41" i="20"/>
  <c r="D41" i="20"/>
  <c r="E41" i="20"/>
  <c r="F41" i="20"/>
  <c r="G41" i="20"/>
  <c r="B34" i="20"/>
  <c r="C34" i="20"/>
  <c r="D34" i="20"/>
  <c r="E34" i="20"/>
  <c r="F34" i="20"/>
  <c r="B19" i="20"/>
  <c r="D19" i="20"/>
  <c r="F19" i="20"/>
  <c r="F47" i="6" s="1"/>
  <c r="B20" i="20"/>
  <c r="C20" i="20"/>
  <c r="D20" i="20"/>
  <c r="E20" i="20"/>
  <c r="F20" i="20"/>
  <c r="B40" i="20"/>
  <c r="C40" i="20"/>
  <c r="D40" i="20"/>
  <c r="E40" i="20"/>
  <c r="F40" i="20"/>
  <c r="F50" i="6" s="1"/>
  <c r="G40" i="20"/>
  <c r="G50" i="6" s="1"/>
  <c r="B39" i="20"/>
  <c r="C39" i="20"/>
  <c r="D39" i="20"/>
  <c r="E39" i="20"/>
  <c r="F39" i="20"/>
  <c r="B3" i="20"/>
  <c r="G6" i="20"/>
  <c r="B4" i="20"/>
  <c r="D4" i="20"/>
  <c r="F4" i="20"/>
  <c r="C4" i="20"/>
  <c r="E4" i="20"/>
  <c r="G4" i="20"/>
  <c r="G3" i="20"/>
  <c r="B6" i="20"/>
  <c r="C6" i="20"/>
  <c r="D6" i="20"/>
  <c r="E6" i="20"/>
  <c r="F5" i="20"/>
  <c r="F45" i="6" s="1"/>
  <c r="B5" i="20"/>
  <c r="C5" i="20"/>
  <c r="D5" i="20"/>
  <c r="E5" i="20"/>
  <c r="F6" i="20"/>
  <c r="C3" i="20"/>
  <c r="D3" i="20"/>
  <c r="E3" i="20"/>
  <c r="F3" i="20"/>
  <c r="G5" i="20"/>
  <c r="G45" i="6" s="1"/>
  <c r="D33" i="10" l="1"/>
  <c r="H43" i="10"/>
  <c r="C50" i="6"/>
  <c r="O45" i="20"/>
  <c r="O43" i="20"/>
  <c r="O37" i="20"/>
  <c r="O34" i="20"/>
  <c r="N41" i="20"/>
  <c r="O44" i="20"/>
  <c r="O39" i="20"/>
  <c r="O36" i="20"/>
  <c r="N46" i="20"/>
  <c r="N40" i="20"/>
  <c r="C49" i="6"/>
  <c r="O46" i="20"/>
  <c r="O42" i="20"/>
  <c r="O40" i="20"/>
  <c r="O38" i="20"/>
  <c r="L44" i="20"/>
  <c r="O41" i="20"/>
  <c r="O35" i="20"/>
  <c r="O33" i="20"/>
  <c r="L45" i="20"/>
  <c r="L37" i="20"/>
  <c r="H33" i="10"/>
  <c r="D38" i="10"/>
  <c r="H8" i="10"/>
  <c r="C47" i="6"/>
  <c r="L46" i="20"/>
  <c r="L42" i="20"/>
  <c r="L40" i="20"/>
  <c r="L38" i="20"/>
  <c r="L34" i="20"/>
  <c r="L32" i="20"/>
  <c r="M44" i="20"/>
  <c r="L43" i="20"/>
  <c r="L39" i="20"/>
  <c r="L33" i="20"/>
  <c r="D28" i="10"/>
  <c r="D23" i="10"/>
  <c r="D8" i="10"/>
  <c r="C45" i="6"/>
  <c r="N39" i="20"/>
  <c r="M41" i="20"/>
  <c r="M37" i="20"/>
  <c r="M35" i="20"/>
  <c r="M33" i="20"/>
  <c r="N38" i="20"/>
  <c r="N32" i="20"/>
  <c r="M40" i="20"/>
  <c r="M36" i="20"/>
  <c r="M34" i="20"/>
  <c r="I46" i="6"/>
  <c r="I48" i="6"/>
  <c r="I50" i="6"/>
  <c r="I47" i="6"/>
  <c r="I49" i="6"/>
  <c r="I45" i="6"/>
  <c r="H45" i="6"/>
  <c r="H46" i="6"/>
  <c r="H48" i="6"/>
  <c r="H49" i="6"/>
  <c r="H50" i="6"/>
  <c r="H47" i="6"/>
  <c r="B47" i="6" s="1"/>
  <c r="B50" i="6" l="1"/>
  <c r="B49" i="6"/>
  <c r="B46" i="6"/>
  <c r="B48" i="6"/>
  <c r="B45" i="6"/>
  <c r="A49" i="6" l="1"/>
  <c r="A46" i="6"/>
  <c r="A47" i="6"/>
  <c r="A48" i="6"/>
  <c r="A50" i="6"/>
  <c r="A45" i="6"/>
  <c r="E47" i="20" l="1"/>
  <c r="E45" i="20"/>
  <c r="D47" i="20"/>
  <c r="D45" i="20"/>
  <c r="C47" i="20"/>
  <c r="C45" i="20"/>
  <c r="E46" i="20"/>
  <c r="E48" i="20"/>
  <c r="D46" i="20"/>
  <c r="D48" i="20"/>
  <c r="C46" i="20"/>
  <c r="C48" i="20"/>
  <c r="B46" i="20"/>
  <c r="B48" i="20"/>
  <c r="B47" i="20"/>
  <c r="B45" i="20"/>
  <c r="H23" i="10" l="1"/>
  <c r="H13" i="10"/>
  <c r="H28" i="10"/>
  <c r="H18" i="10"/>
</calcChain>
</file>

<file path=xl/sharedStrings.xml><?xml version="1.0" encoding="utf-8"?>
<sst xmlns="http://schemas.openxmlformats.org/spreadsheetml/2006/main" count="503" uniqueCount="144">
  <si>
    <t>F</t>
  </si>
  <si>
    <t>A</t>
  </si>
  <si>
    <t>Date</t>
  </si>
  <si>
    <t>Pts</t>
  </si>
  <si>
    <t>Rank</t>
  </si>
  <si>
    <t>Team</t>
  </si>
  <si>
    <t>P</t>
  </si>
  <si>
    <t>W</t>
  </si>
  <si>
    <t>L</t>
  </si>
  <si>
    <t>D</t>
  </si>
  <si>
    <t>Position</t>
  </si>
  <si>
    <t>Time</t>
  </si>
  <si>
    <t>v</t>
  </si>
  <si>
    <t>Group A</t>
  </si>
  <si>
    <t>France</t>
  </si>
  <si>
    <t>Group B</t>
  </si>
  <si>
    <t>Group C</t>
  </si>
  <si>
    <t>England</t>
  </si>
  <si>
    <t>Group D</t>
  </si>
  <si>
    <t>Germany</t>
  </si>
  <si>
    <t>Group E</t>
  </si>
  <si>
    <t>Group F</t>
  </si>
  <si>
    <t>Italy</t>
  </si>
  <si>
    <t>Slovakia</t>
  </si>
  <si>
    <t>Portugal</t>
  </si>
  <si>
    <t>Spain</t>
  </si>
  <si>
    <t>Switzerland</t>
  </si>
  <si>
    <t>Last 16</t>
  </si>
  <si>
    <t>Quarter Finals</t>
  </si>
  <si>
    <t>Extra Time</t>
  </si>
  <si>
    <t>Semi Finals</t>
  </si>
  <si>
    <t>Final</t>
  </si>
  <si>
    <t>Group A Winner</t>
  </si>
  <si>
    <t>Group B Runner Up</t>
  </si>
  <si>
    <t>Group C Winner</t>
  </si>
  <si>
    <t>Group D Runner Up</t>
  </si>
  <si>
    <t>Group D Winner</t>
  </si>
  <si>
    <t>Group B Winner</t>
  </si>
  <si>
    <t>Group A Runner Up</t>
  </si>
  <si>
    <t>Group E Winner</t>
  </si>
  <si>
    <t>Group F Runner Up</t>
  </si>
  <si>
    <t>Group F Winner</t>
  </si>
  <si>
    <t>Group E Runner Up</t>
  </si>
  <si>
    <t>Penalty Shoot Out</t>
  </si>
  <si>
    <t>Match</t>
  </si>
  <si>
    <t>Match 49 Winner</t>
  </si>
  <si>
    <t>Match 50 Winner</t>
  </si>
  <si>
    <t>GD</t>
  </si>
  <si>
    <t>Goals</t>
  </si>
  <si>
    <t>Albania</t>
  </si>
  <si>
    <t>Romania</t>
  </si>
  <si>
    <t>Russia</t>
  </si>
  <si>
    <t>Wales</t>
  </si>
  <si>
    <t>N Ireland</t>
  </si>
  <si>
    <t>Poland</t>
  </si>
  <si>
    <t>Ukraine</t>
  </si>
  <si>
    <t>Croatia</t>
  </si>
  <si>
    <t>Czech Rep</t>
  </si>
  <si>
    <t>Turkey</t>
  </si>
  <si>
    <t>Belgium</t>
  </si>
  <si>
    <t>Sweden</t>
  </si>
  <si>
    <t>R. of Ireland</t>
  </si>
  <si>
    <t>Austria</t>
  </si>
  <si>
    <t>Hungary</t>
  </si>
  <si>
    <t>Iceland</t>
  </si>
  <si>
    <t>3rd Groups B, E, F</t>
  </si>
  <si>
    <t>3rd Groups A, C, D</t>
  </si>
  <si>
    <t>3rd Groups C, D, E</t>
  </si>
  <si>
    <t>3rd Groups A, B, F</t>
  </si>
  <si>
    <t>Match 45 Winner</t>
  </si>
  <si>
    <t>Match 46 Winner</t>
  </si>
  <si>
    <t>Match 47 Winner</t>
  </si>
  <si>
    <t>Match 48 Winner</t>
  </si>
  <si>
    <t>Match 37 Winner</t>
  </si>
  <si>
    <t>Match 39 Winner</t>
  </si>
  <si>
    <t>Match 38 Winner</t>
  </si>
  <si>
    <t>Match 42 Winner</t>
  </si>
  <si>
    <t>Match 41 Winner</t>
  </si>
  <si>
    <t>Match 43 Winner</t>
  </si>
  <si>
    <t>Match 40 Winner</t>
  </si>
  <si>
    <t>Match 44 Winner</t>
  </si>
  <si>
    <t>Team1</t>
  </si>
  <si>
    <t>Team2</t>
  </si>
  <si>
    <t>Team1 Score</t>
  </si>
  <si>
    <t>Team2 Score</t>
  </si>
  <si>
    <t>Rank2</t>
  </si>
  <si>
    <t>GD3</t>
  </si>
  <si>
    <t>Rank Ties</t>
  </si>
  <si>
    <t>Third Best Teams</t>
  </si>
  <si>
    <t>Goals2</t>
  </si>
  <si>
    <t>Group</t>
  </si>
  <si>
    <t>B</t>
  </si>
  <si>
    <t>C</t>
  </si>
  <si>
    <t>E</t>
  </si>
  <si>
    <t>Sequence</t>
  </si>
  <si>
    <t>Best Ranked Groups</t>
  </si>
  <si>
    <t>Winner A</t>
  </si>
  <si>
    <t>Winner B</t>
  </si>
  <si>
    <t>Winner C</t>
  </si>
  <si>
    <t>Winner D</t>
  </si>
  <si>
    <t>ABCD</t>
  </si>
  <si>
    <t>ABCE</t>
  </si>
  <si>
    <t>ABCF</t>
  </si>
  <si>
    <t>ABDE</t>
  </si>
  <si>
    <t>ABDF</t>
  </si>
  <si>
    <t>ABEF</t>
  </si>
  <si>
    <t>ACDE</t>
  </si>
  <si>
    <t>ACDF</t>
  </si>
  <si>
    <t>ACEF</t>
  </si>
  <si>
    <t>ADEF</t>
  </si>
  <si>
    <t>BCDE</t>
  </si>
  <si>
    <t>BCDF</t>
  </si>
  <si>
    <t>BCEF</t>
  </si>
  <si>
    <t>BDEF</t>
  </si>
  <si>
    <t>CDEF</t>
  </si>
  <si>
    <t>Group C Runner Up</t>
  </si>
  <si>
    <t>Permutations for Third Placed Teams</t>
  </si>
  <si>
    <t>Best ranked groups</t>
  </si>
  <si>
    <t>A B C D</t>
  </si>
  <si>
    <t>3C</t>
  </si>
  <si>
    <t>3D</t>
  </si>
  <si>
    <t>3A</t>
  </si>
  <si>
    <t>3B</t>
  </si>
  <si>
    <t>A B C E</t>
  </si>
  <si>
    <t>3E</t>
  </si>
  <si>
    <t>A B C F</t>
  </si>
  <si>
    <t>3F</t>
  </si>
  <si>
    <t>A B D E</t>
  </si>
  <si>
    <t>A B D F</t>
  </si>
  <si>
    <t>A B E F</t>
  </si>
  <si>
    <t>A C D E</t>
  </si>
  <si>
    <t>A C D F</t>
  </si>
  <si>
    <t>A C E F</t>
  </si>
  <si>
    <t>A D E F</t>
  </si>
  <si>
    <t>B C D E</t>
  </si>
  <si>
    <t>B C D F</t>
  </si>
  <si>
    <t>B C E F</t>
  </si>
  <si>
    <t>B D E F</t>
  </si>
  <si>
    <t>C D E F</t>
  </si>
  <si>
    <t>Winner Group A</t>
  </si>
  <si>
    <t>Winner Group B</t>
  </si>
  <si>
    <t>Winner Group C</t>
  </si>
  <si>
    <t>Winner Group D</t>
  </si>
  <si>
    <t>Row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</si>
</sst>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&quot;-&quot;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</fills>
  <borders count="6">
    <border>
      <left/>
      <right/>
      <top/>
      <bottom/>
      <diagonal/>
    </border>
    <border>
      <left style="medium">
        <color theme="2" tint="-0.24994659260841701"/>
      </left>
      <right style="medium">
        <color theme="2" tint="-0.24994659260841701"/>
      </right>
      <top style="medium">
        <color theme="2" tint="-0.24994659260841701"/>
      </top>
      <bottom style="medium">
        <color theme="2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/>
    <xf numFmtId="0" fontId="1" fillId="0" borderId="0" xfId="0" applyFont="1" applyAlignment="1"/>
    <xf numFmtId="0" fontId="3" fillId="2" borderId="1" xfId="0" applyFont="1" applyFill="1" applyBorder="1" applyProtection="1">
      <protection locked="0"/>
    </xf>
    <xf numFmtId="0" fontId="3" fillId="0" borderId="0" xfId="0" applyFont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3" fillId="0" borderId="0" xfId="0" applyFont="1" applyProtection="1"/>
    <xf numFmtId="0" fontId="2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14" fontId="3" fillId="0" borderId="0" xfId="0" applyNumberFormat="1" applyFont="1" applyAlignment="1" applyProtection="1">
      <alignment horizontal="center" vertical="center"/>
    </xf>
    <xf numFmtId="20" fontId="3" fillId="0" borderId="0" xfId="0" applyNumberFormat="1" applyFont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0" xfId="0" applyNumberFormat="1" applyFont="1" applyProtection="1"/>
    <xf numFmtId="14" fontId="3" fillId="0" borderId="0" xfId="0" applyNumberFormat="1" applyFont="1" applyProtection="1"/>
    <xf numFmtId="20" fontId="3" fillId="0" borderId="0" xfId="0" applyNumberFormat="1" applyFont="1" applyProtection="1"/>
    <xf numFmtId="164" fontId="3" fillId="0" borderId="0" xfId="0" applyNumberFormat="1" applyFont="1" applyAlignment="1" applyProtection="1">
      <alignment horizontal="center"/>
    </xf>
    <xf numFmtId="1" fontId="3" fillId="0" borderId="0" xfId="0" applyNumberFormat="1" applyFont="1" applyAlignment="1" applyProtection="1">
      <alignment horizontal="right"/>
    </xf>
    <xf numFmtId="1" fontId="3" fillId="0" borderId="0" xfId="0" applyNumberFormat="1" applyFont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0" fillId="0" borderId="0" xfId="0" applyProtection="1"/>
    <xf numFmtId="0" fontId="4" fillId="0" borderId="0" xfId="0" applyFont="1" applyProtection="1"/>
    <xf numFmtId="0" fontId="5" fillId="0" borderId="0" xfId="0" applyFont="1" applyProtection="1"/>
    <xf numFmtId="0" fontId="3" fillId="0" borderId="0" xfId="0" applyFont="1" applyAlignment="1" applyProtection="1">
      <alignment horizontal="right" indent="1"/>
    </xf>
    <xf numFmtId="0" fontId="3" fillId="0" borderId="0" xfId="0" applyFont="1" applyAlignment="1" applyProtection="1">
      <alignment horizontal="left" indent="1"/>
    </xf>
    <xf numFmtId="0" fontId="3" fillId="0" borderId="0" xfId="0" applyFont="1" applyAlignment="1" applyProtection="1">
      <alignment horizontal="right" vertical="center" indent="1"/>
    </xf>
    <xf numFmtId="0" fontId="3" fillId="0" borderId="0" xfId="0" applyNumberFormat="1" applyFont="1" applyAlignment="1" applyProtection="1">
      <alignment horizontal="left" vertical="center" indent="1"/>
    </xf>
    <xf numFmtId="0" fontId="3" fillId="0" borderId="0" xfId="0" applyFont="1" applyAlignment="1" applyProtection="1">
      <alignment horizontal="left" vertical="center" indent="1"/>
    </xf>
    <xf numFmtId="0" fontId="3" fillId="0" borderId="0" xfId="0" applyFont="1" applyFill="1" applyBorder="1" applyAlignment="1" applyProtection="1">
      <alignment horizontal="right" indent="1"/>
    </xf>
    <xf numFmtId="0" fontId="3" fillId="0" borderId="0" xfId="0" applyFont="1" applyFill="1" applyBorder="1" applyAlignment="1" applyProtection="1">
      <alignment horizontal="left" indent="1"/>
    </xf>
    <xf numFmtId="0" fontId="3" fillId="0" borderId="0" xfId="0" applyNumberFormat="1" applyFont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right" vertical="center" indent="1"/>
    </xf>
    <xf numFmtId="0" fontId="3" fillId="0" borderId="0" xfId="0" applyFont="1" applyAlignment="1" applyProtection="1"/>
    <xf numFmtId="0" fontId="0" fillId="0" borderId="0" xfId="0" applyAlignment="1" applyProtection="1">
      <alignment horizontal="center" vertical="center"/>
    </xf>
    <xf numFmtId="164" fontId="3" fillId="0" borderId="0" xfId="0" applyNumberFormat="1" applyFont="1" applyAlignment="1" applyProtection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2" fillId="3" borderId="2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  <xf numFmtId="0" fontId="2" fillId="3" borderId="4" xfId="0" applyFont="1" applyFill="1" applyBorder="1" applyAlignment="1" applyProtection="1">
      <alignment horizontal="center" vertical="center"/>
    </xf>
    <xf numFmtId="0" fontId="2" fillId="3" borderId="5" xfId="0" applyFont="1" applyFill="1" applyBorder="1" applyAlignment="1" applyProtection="1">
      <alignment horizontal="center"/>
    </xf>
  </cellXfs>
  <cellStyles count="1">
    <cellStyle name="Normal" xfId="0" builtinId="0"/>
  </cellStyles>
  <dxfs count="74"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bottom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2" tint="-0.24994659260841701"/>
        </left>
        <right style="medium">
          <color theme="2" tint="-0.24994659260841701"/>
        </right>
        <top style="medium">
          <color theme="2" tint="-0.24994659260841701"/>
        </top>
        <bottom style="medium">
          <color theme="2" tint="-0.2499465926084170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2" tint="-0.24994659260841701"/>
        </left>
        <right style="medium">
          <color theme="2" tint="-0.24994659260841701"/>
        </right>
        <top style="medium">
          <color theme="2" tint="-0.24994659260841701"/>
        </top>
        <bottom style="medium">
          <color theme="2" tint="-0.2499465926084170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right" vertical="center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h:mm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dd/mm/yy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1" hidden="0"/>
    </dxf>
    <dxf>
      <border outline="0">
        <top style="thin">
          <color indexed="64"/>
        </top>
      </border>
    </dxf>
    <dxf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bottom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2" tint="-0.24994659260841701"/>
        </left>
        <right style="medium">
          <color theme="2" tint="-0.24994659260841701"/>
        </right>
        <top style="medium">
          <color theme="2" tint="-0.24994659260841701"/>
        </top>
        <bottom style="medium">
          <color theme="2" tint="-0.2499465926084170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2" tint="-0.24994659260841701"/>
        </left>
        <right style="medium">
          <color theme="2" tint="-0.24994659260841701"/>
        </right>
        <top style="medium">
          <color theme="2" tint="-0.24994659260841701"/>
        </top>
        <bottom style="medium">
          <color theme="2" tint="-0.2499465926084170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right" vertical="center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h:mm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dd/mm/yy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1" hidden="0"/>
    </dxf>
    <dxf>
      <border outline="0">
        <top style="thin">
          <color indexed="64"/>
        </top>
      </border>
    </dxf>
    <dxf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bottom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2" tint="-0.24994659260841701"/>
        </left>
        <right style="medium">
          <color theme="2" tint="-0.24994659260841701"/>
        </right>
        <top style="medium">
          <color theme="2" tint="-0.24994659260841701"/>
        </top>
        <bottom style="medium">
          <color theme="2" tint="-0.24994659260841701"/>
        </bottom>
      </border>
      <protection locked="0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2" tint="-0.24994659260841701"/>
        </left>
        <right style="medium">
          <color theme="2" tint="-0.24994659260841701"/>
        </right>
        <top style="medium">
          <color theme="2" tint="-0.24994659260841701"/>
        </top>
        <bottom style="medium">
          <color theme="2" tint="-0.2499465926084170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h:mm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dd/mm/yy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protection locked="1" hidden="0"/>
    </dxf>
    <dxf>
      <border outline="0">
        <top style="thin">
          <color indexed="64"/>
        </top>
      </border>
    </dxf>
    <dxf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2" tint="-0.24994659260841701"/>
        </left>
        <right style="medium">
          <color theme="2" tint="-0.24994659260841701"/>
        </right>
        <top style="medium">
          <color theme="2" tint="-0.24994659260841701"/>
        </top>
        <bottom style="medium">
          <color theme="2" tint="-0.2499465926084170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2" tint="-0.24994659260841701"/>
        </left>
        <right style="medium">
          <color theme="2" tint="-0.24994659260841701"/>
        </right>
        <top style="medium">
          <color theme="2" tint="-0.24994659260841701"/>
        </top>
        <bottom style="medium">
          <color theme="2" tint="-0.2499465926084170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right" vertical="center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h:mm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dd/mm/yy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protection locked="1" hidden="0"/>
    </dxf>
    <dxf>
      <border outline="0">
        <top style="thin">
          <color indexed="64"/>
        </top>
      </border>
    </dxf>
    <dxf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bottom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2" tint="-0.24994659260841701"/>
        </left>
        <right style="medium">
          <color theme="2" tint="-0.24994659260841701"/>
        </right>
        <top style="medium">
          <color theme="2" tint="-0.24994659260841701"/>
        </top>
        <bottom style="medium">
          <color theme="2" tint="-0.2499465926084170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2" tint="-0.24994659260841701"/>
        </left>
        <right style="medium">
          <color theme="2" tint="-0.24994659260841701"/>
        </right>
        <top style="medium">
          <color theme="2" tint="-0.24994659260841701"/>
        </top>
        <bottom style="medium">
          <color theme="2" tint="-0.2499465926084170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right" vertical="bottom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h:mm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dd/mm/yy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1" hidden="0"/>
    </dxf>
    <dxf>
      <border outline="0">
        <top style="thin">
          <color indexed="64"/>
        </top>
      </border>
    </dxf>
    <dxf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bottom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2" tint="-0.24994659260841701"/>
        </left>
        <right style="medium">
          <color theme="2" tint="-0.24994659260841701"/>
        </right>
        <top style="medium">
          <color theme="2" tint="-0.24994659260841701"/>
        </top>
        <bottom style="medium">
          <color theme="2" tint="-0.2499465926084170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2" tint="-0.24994659260841701"/>
        </left>
        <right style="medium">
          <color theme="2" tint="-0.24994659260841701"/>
        </right>
        <top style="medium">
          <color theme="2" tint="-0.24994659260841701"/>
        </top>
        <bottom style="medium">
          <color theme="2" tint="-0.2499465926084170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right" vertical="bottom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h:mm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dd/mm/yy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1" hidden="0"/>
    </dxf>
    <dxf>
      <border outline="0">
        <top style="thin">
          <color indexed="64"/>
        </top>
      </border>
    </dxf>
    <dxf>
      <protection locked="1" hidden="0"/>
    </dxf>
    <dxf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emf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emf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24.png"/><Relationship Id="rId6" Type="http://schemas.openxmlformats.org/officeDocument/2006/relationships/image" Target="../media/image6.png"/><Relationship Id="rId11" Type="http://schemas.openxmlformats.org/officeDocument/2006/relationships/image" Target="../media/image17.jpeg"/><Relationship Id="rId5" Type="http://schemas.openxmlformats.org/officeDocument/2006/relationships/image" Target="../media/image5.png"/><Relationship Id="rId10" Type="http://schemas.openxmlformats.org/officeDocument/2006/relationships/image" Target="../media/image16.png"/><Relationship Id="rId4" Type="http://schemas.openxmlformats.org/officeDocument/2006/relationships/image" Target="../media/image4.png"/><Relationship Id="rId9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Relationship Id="rId6" Type="http://schemas.openxmlformats.org/officeDocument/2006/relationships/image" Target="../media/image23.emf"/><Relationship Id="rId5" Type="http://schemas.openxmlformats.org/officeDocument/2006/relationships/image" Target="../media/image22.emf"/><Relationship Id="rId4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14614</xdr:colOff>
      <xdr:row>4</xdr:row>
      <xdr:rowOff>140208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533197" cy="749808"/>
        </a:xfrm>
        <a:prstGeom prst="rect">
          <a:avLst/>
        </a:prstGeom>
      </xdr:spPr>
    </xdr:pic>
    <xdr:clientData/>
  </xdr:twoCellAnchor>
  <xdr:twoCellAnchor editAs="absolute">
    <xdr:from>
      <xdr:col>1</xdr:col>
      <xdr:colOff>91017</xdr:colOff>
      <xdr:row>0</xdr:row>
      <xdr:rowOff>0</xdr:rowOff>
    </xdr:from>
    <xdr:to>
      <xdr:col>3</xdr:col>
      <xdr:colOff>232245</xdr:colOff>
      <xdr:row>4</xdr:row>
      <xdr:rowOff>140208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0"/>
          <a:ext cx="1360429" cy="749808"/>
        </a:xfrm>
        <a:prstGeom prst="rect">
          <a:avLst/>
        </a:prstGeom>
      </xdr:spPr>
    </xdr:pic>
    <xdr:clientData/>
  </xdr:twoCellAnchor>
  <xdr:twoCellAnchor editAs="absolute">
    <xdr:from>
      <xdr:col>8</xdr:col>
      <xdr:colOff>115359</xdr:colOff>
      <xdr:row>0</xdr:row>
      <xdr:rowOff>0</xdr:rowOff>
    </xdr:from>
    <xdr:to>
      <xdr:col>10</xdr:col>
      <xdr:colOff>604461</xdr:colOff>
      <xdr:row>4</xdr:row>
      <xdr:rowOff>140208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0"/>
          <a:ext cx="1338943" cy="749808"/>
        </a:xfrm>
        <a:prstGeom prst="rect">
          <a:avLst/>
        </a:prstGeom>
      </xdr:spPr>
    </xdr:pic>
    <xdr:clientData/>
  </xdr:twoCellAnchor>
  <xdr:twoCellAnchor editAs="absolute">
    <xdr:from>
      <xdr:col>3</xdr:col>
      <xdr:colOff>233892</xdr:colOff>
      <xdr:row>0</xdr:row>
      <xdr:rowOff>0</xdr:rowOff>
    </xdr:from>
    <xdr:to>
      <xdr:col>6</xdr:col>
      <xdr:colOff>127152</xdr:colOff>
      <xdr:row>4</xdr:row>
      <xdr:rowOff>140208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726" y="0"/>
          <a:ext cx="1338943" cy="749808"/>
        </a:xfrm>
        <a:prstGeom prst="rect">
          <a:avLst/>
        </a:prstGeom>
      </xdr:spPr>
    </xdr:pic>
    <xdr:clientData/>
  </xdr:twoCellAnchor>
  <xdr:twoCellAnchor editAs="absolute">
    <xdr:from>
      <xdr:col>6</xdr:col>
      <xdr:colOff>131234</xdr:colOff>
      <xdr:row>0</xdr:row>
      <xdr:rowOff>0</xdr:rowOff>
    </xdr:from>
    <xdr:to>
      <xdr:col>8</xdr:col>
      <xdr:colOff>114473</xdr:colOff>
      <xdr:row>4</xdr:row>
      <xdr:rowOff>140208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1" y="0"/>
          <a:ext cx="1151639" cy="749808"/>
        </a:xfrm>
        <a:prstGeom prst="rect">
          <a:avLst/>
        </a:prstGeom>
      </xdr:spPr>
    </xdr:pic>
    <xdr:clientData/>
  </xdr:twoCellAnchor>
  <xdr:twoCellAnchor editAs="absolute">
    <xdr:from>
      <xdr:col>10</xdr:col>
      <xdr:colOff>608542</xdr:colOff>
      <xdr:row>0</xdr:row>
      <xdr:rowOff>0</xdr:rowOff>
    </xdr:from>
    <xdr:to>
      <xdr:col>12</xdr:col>
      <xdr:colOff>503787</xdr:colOff>
      <xdr:row>4</xdr:row>
      <xdr:rowOff>140208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0"/>
          <a:ext cx="1116562" cy="749808"/>
        </a:xfrm>
        <a:prstGeom prst="rect">
          <a:avLst/>
        </a:prstGeom>
      </xdr:spPr>
    </xdr:pic>
    <xdr:clientData/>
  </xdr:twoCellAnchor>
  <xdr:twoCellAnchor editAs="absolute">
    <xdr:from>
      <xdr:col>12</xdr:col>
      <xdr:colOff>501651</xdr:colOff>
      <xdr:row>0</xdr:row>
      <xdr:rowOff>0</xdr:rowOff>
    </xdr:from>
    <xdr:to>
      <xdr:col>16</xdr:col>
      <xdr:colOff>105986</xdr:colOff>
      <xdr:row>4</xdr:row>
      <xdr:rowOff>140208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726" y="0"/>
          <a:ext cx="1338943" cy="749808"/>
        </a:xfrm>
        <a:prstGeom prst="rect">
          <a:avLst/>
        </a:prstGeom>
      </xdr:spPr>
    </xdr:pic>
    <xdr:clientData/>
  </xdr:twoCellAnchor>
  <xdr:twoCellAnchor editAs="absolute">
    <xdr:from>
      <xdr:col>16</xdr:col>
      <xdr:colOff>110068</xdr:colOff>
      <xdr:row>0</xdr:row>
      <xdr:rowOff>0</xdr:rowOff>
    </xdr:from>
    <xdr:to>
      <xdr:col>18</xdr:col>
      <xdr:colOff>250977</xdr:colOff>
      <xdr:row>4</xdr:row>
      <xdr:rowOff>140208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1" y="0"/>
          <a:ext cx="1338943" cy="74980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304801</xdr:colOff>
          <xdr:row>13</xdr:row>
          <xdr:rowOff>50086</xdr:rowOff>
        </xdr:from>
        <xdr:to>
          <xdr:col>7</xdr:col>
          <xdr:colOff>549277</xdr:colOff>
          <xdr:row>19</xdr:row>
          <xdr:rowOff>107421</xdr:rowOff>
        </xdr:to>
        <xdr:pic>
          <xdr:nvPicPr>
            <xdr:cNvPr id="10" name="Picture 9"/>
            <xdr:cNvPicPr>
              <a:picLocks noChangeAspect="1" noChangeArrowheads="1"/>
              <a:extLst>
                <a:ext uri="{84589F7E-364E-4C9E-8A38-B11213B215E9}">
                  <a14:cameraTool cellRange="'League Tables'!$A$2:$G$6" spid="_x0000_s14720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304801" y="1976253"/>
              <a:ext cx="3736976" cy="925168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307448</xdr:colOff>
          <xdr:row>13</xdr:row>
          <xdr:rowOff>28483</xdr:rowOff>
        </xdr:from>
        <xdr:to>
          <xdr:col>16</xdr:col>
          <xdr:colOff>628123</xdr:colOff>
          <xdr:row>19</xdr:row>
          <xdr:rowOff>107858</xdr:rowOff>
        </xdr:to>
        <xdr:pic>
          <xdr:nvPicPr>
            <xdr:cNvPr id="11" name="Picture 10"/>
            <xdr:cNvPicPr>
              <a:picLocks noChangeAspect="1" noChangeArrowheads="1"/>
              <a:extLst>
                <a:ext uri="{84589F7E-364E-4C9E-8A38-B11213B215E9}">
                  <a14:cameraTool cellRange="'League Tables'!$A$9:$G$13" spid="_x0000_s14721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5006448" y="1954650"/>
              <a:ext cx="3813175" cy="947208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361951</xdr:colOff>
          <xdr:row>13</xdr:row>
          <xdr:rowOff>23721</xdr:rowOff>
        </xdr:from>
        <xdr:to>
          <xdr:col>25</xdr:col>
          <xdr:colOff>577851</xdr:colOff>
          <xdr:row>19</xdr:row>
          <xdr:rowOff>112621</xdr:rowOff>
        </xdr:to>
        <xdr:pic>
          <xdr:nvPicPr>
            <xdr:cNvPr id="12" name="Picture 11"/>
            <xdr:cNvPicPr>
              <a:picLocks noChangeAspect="1" noChangeArrowheads="1"/>
              <a:extLst>
                <a:ext uri="{84589F7E-364E-4C9E-8A38-B11213B215E9}">
                  <a14:cameraTool cellRange="'League Tables'!$A$16:$G$20" spid="_x0000_s14722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9759951" y="1949888"/>
              <a:ext cx="3814233" cy="956733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268289</xdr:colOff>
          <xdr:row>28</xdr:row>
          <xdr:rowOff>98425</xdr:rowOff>
        </xdr:from>
        <xdr:to>
          <xdr:col>7</xdr:col>
          <xdr:colOff>585789</xdr:colOff>
          <xdr:row>35</xdr:row>
          <xdr:rowOff>35984</xdr:rowOff>
        </xdr:to>
        <xdr:pic>
          <xdr:nvPicPr>
            <xdr:cNvPr id="13" name="Picture 12"/>
            <xdr:cNvPicPr>
              <a:picLocks noChangeAspect="1" noChangeArrowheads="1"/>
              <a:extLst>
                <a:ext uri="{84589F7E-364E-4C9E-8A38-B11213B215E9}">
                  <a14:cameraTool cellRange="'League Tables'!$A$23:$G$27" spid="_x0000_s14723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268289" y="4225925"/>
              <a:ext cx="3810000" cy="953559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307448</xdr:colOff>
          <xdr:row>28</xdr:row>
          <xdr:rowOff>100542</xdr:rowOff>
        </xdr:from>
        <xdr:to>
          <xdr:col>16</xdr:col>
          <xdr:colOff>628123</xdr:colOff>
          <xdr:row>35</xdr:row>
          <xdr:rowOff>33867</xdr:rowOff>
        </xdr:to>
        <xdr:pic>
          <xdr:nvPicPr>
            <xdr:cNvPr id="14" name="Picture 13"/>
            <xdr:cNvPicPr>
              <a:picLocks noChangeAspect="1" noChangeArrowheads="1"/>
              <a:extLst>
                <a:ext uri="{84589F7E-364E-4C9E-8A38-B11213B215E9}">
                  <a14:cameraTool cellRange="'League Tables'!$A$30:$G$34" spid="_x0000_s14724"/>
                </a:ext>
              </a:extLst>
            </xdr:cNvPicPr>
          </xdr:nvPicPr>
          <xdr:blipFill>
            <a:blip xmlns:r="http://schemas.openxmlformats.org/officeDocument/2006/relationships" r:embed="rId13"/>
            <a:srcRect/>
            <a:stretch>
              <a:fillRect/>
            </a:stretch>
          </xdr:blipFill>
          <xdr:spPr bwMode="auto">
            <a:xfrm>
              <a:off x="5006448" y="4228042"/>
              <a:ext cx="3813175" cy="9493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361951</xdr:colOff>
          <xdr:row>28</xdr:row>
          <xdr:rowOff>100542</xdr:rowOff>
        </xdr:from>
        <xdr:to>
          <xdr:col>25</xdr:col>
          <xdr:colOff>577851</xdr:colOff>
          <xdr:row>35</xdr:row>
          <xdr:rowOff>33867</xdr:rowOff>
        </xdr:to>
        <xdr:pic>
          <xdr:nvPicPr>
            <xdr:cNvPr id="15" name="Picture 14"/>
            <xdr:cNvPicPr>
              <a:picLocks noChangeAspect="1" noChangeArrowheads="1"/>
              <a:extLst>
                <a:ext uri="{84589F7E-364E-4C9E-8A38-B11213B215E9}">
                  <a14:cameraTool cellRange="'League Tables'!$A$37:$G$41" spid="_x0000_s14725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9759951" y="4228042"/>
              <a:ext cx="3814233" cy="9493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18</xdr:col>
      <xdr:colOff>254000</xdr:colOff>
      <xdr:row>0</xdr:row>
      <xdr:rowOff>0</xdr:rowOff>
    </xdr:from>
    <xdr:to>
      <xdr:col>20</xdr:col>
      <xdr:colOff>135774</xdr:colOff>
      <xdr:row>5</xdr:row>
      <xdr:rowOff>8975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0" y="0"/>
          <a:ext cx="1141191" cy="749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137583</xdr:colOff>
      <xdr:row>0</xdr:row>
      <xdr:rowOff>0</xdr:rowOff>
    </xdr:from>
    <xdr:to>
      <xdr:col>21</xdr:col>
      <xdr:colOff>602351</xdr:colOff>
      <xdr:row>5</xdr:row>
      <xdr:rowOff>8975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00" y="0"/>
          <a:ext cx="1078601" cy="749808"/>
        </a:xfrm>
        <a:prstGeom prst="rect">
          <a:avLst/>
        </a:prstGeom>
      </xdr:spPr>
    </xdr:pic>
    <xdr:clientData/>
  </xdr:twoCellAnchor>
  <xdr:twoCellAnchor editAs="oneCell">
    <xdr:from>
      <xdr:col>21</xdr:col>
      <xdr:colOff>603250</xdr:colOff>
      <xdr:row>0</xdr:row>
      <xdr:rowOff>0</xdr:rowOff>
    </xdr:from>
    <xdr:to>
      <xdr:col>25</xdr:col>
      <xdr:colOff>211159</xdr:colOff>
      <xdr:row>5</xdr:row>
      <xdr:rowOff>8975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0" y="0"/>
          <a:ext cx="1332992" cy="7498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152197</xdr:colOff>
      <xdr:row>4</xdr:row>
      <xdr:rowOff>140208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533197" cy="749808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0</xdr:row>
      <xdr:rowOff>0</xdr:rowOff>
    </xdr:from>
    <xdr:to>
      <xdr:col>3</xdr:col>
      <xdr:colOff>160279</xdr:colOff>
      <xdr:row>4</xdr:row>
      <xdr:rowOff>140208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0"/>
          <a:ext cx="1360429" cy="749808"/>
        </a:xfrm>
        <a:prstGeom prst="rect">
          <a:avLst/>
        </a:prstGeom>
      </xdr:spPr>
    </xdr:pic>
    <xdr:clientData/>
  </xdr:twoCellAnchor>
  <xdr:twoCellAnchor editAs="oneCell">
    <xdr:from>
      <xdr:col>7</xdr:col>
      <xdr:colOff>886887</xdr:colOff>
      <xdr:row>0</xdr:row>
      <xdr:rowOff>0</xdr:rowOff>
    </xdr:from>
    <xdr:to>
      <xdr:col>10</xdr:col>
      <xdr:colOff>339879</xdr:colOff>
      <xdr:row>4</xdr:row>
      <xdr:rowOff>140208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5220" y="0"/>
          <a:ext cx="1347409" cy="73287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161926</xdr:colOff>
      <xdr:row>0</xdr:row>
      <xdr:rowOff>0</xdr:rowOff>
    </xdr:from>
    <xdr:to>
      <xdr:col>5</xdr:col>
      <xdr:colOff>157844</xdr:colOff>
      <xdr:row>4</xdr:row>
      <xdr:rowOff>140208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726" y="0"/>
          <a:ext cx="1338943" cy="749808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161929</xdr:colOff>
      <xdr:row>0</xdr:row>
      <xdr:rowOff>0</xdr:rowOff>
    </xdr:from>
    <xdr:to>
      <xdr:col>7</xdr:col>
      <xdr:colOff>886002</xdr:colOff>
      <xdr:row>4</xdr:row>
      <xdr:rowOff>140208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6929" y="0"/>
          <a:ext cx="1147406" cy="732875"/>
        </a:xfrm>
        <a:prstGeom prst="rect">
          <a:avLst/>
        </a:prstGeom>
      </xdr:spPr>
    </xdr:pic>
    <xdr:clientData/>
  </xdr:twoCellAnchor>
  <xdr:twoCellAnchor editAs="oneCell">
    <xdr:from>
      <xdr:col>10</xdr:col>
      <xdr:colOff>333378</xdr:colOff>
      <xdr:row>0</xdr:row>
      <xdr:rowOff>0</xdr:rowOff>
    </xdr:from>
    <xdr:to>
      <xdr:col>11</xdr:col>
      <xdr:colOff>440290</xdr:colOff>
      <xdr:row>4</xdr:row>
      <xdr:rowOff>140208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6128" y="0"/>
          <a:ext cx="1112329" cy="732875"/>
        </a:xfrm>
        <a:prstGeom prst="rect">
          <a:avLst/>
        </a:prstGeom>
      </xdr:spPr>
    </xdr:pic>
    <xdr:clientData/>
  </xdr:twoCellAnchor>
  <xdr:twoCellAnchor editAs="oneCell">
    <xdr:from>
      <xdr:col>11</xdr:col>
      <xdr:colOff>448737</xdr:colOff>
      <xdr:row>0</xdr:row>
      <xdr:rowOff>0</xdr:rowOff>
    </xdr:from>
    <xdr:to>
      <xdr:col>13</xdr:col>
      <xdr:colOff>87997</xdr:colOff>
      <xdr:row>4</xdr:row>
      <xdr:rowOff>140208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6904" y="0"/>
          <a:ext cx="1343176" cy="732875"/>
        </a:xfrm>
        <a:prstGeom prst="rect">
          <a:avLst/>
        </a:prstGeom>
      </xdr:spPr>
    </xdr:pic>
    <xdr:clientData/>
  </xdr:twoCellAnchor>
  <xdr:twoCellAnchor editAs="oneCell">
    <xdr:from>
      <xdr:col>13</xdr:col>
      <xdr:colOff>81499</xdr:colOff>
      <xdr:row>0</xdr:row>
      <xdr:rowOff>0</xdr:rowOff>
    </xdr:from>
    <xdr:to>
      <xdr:col>16</xdr:col>
      <xdr:colOff>748401</xdr:colOff>
      <xdr:row>4</xdr:row>
      <xdr:rowOff>140208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3582" y="0"/>
          <a:ext cx="1333652" cy="732875"/>
        </a:xfrm>
        <a:prstGeom prst="rect">
          <a:avLst/>
        </a:prstGeom>
      </xdr:spPr>
    </xdr:pic>
    <xdr:clientData/>
  </xdr:twoCellAnchor>
  <xdr:twoCellAnchor editAs="absolute">
    <xdr:from>
      <xdr:col>16</xdr:col>
      <xdr:colOff>752476</xdr:colOff>
      <xdr:row>0</xdr:row>
      <xdr:rowOff>0</xdr:rowOff>
    </xdr:from>
    <xdr:to>
      <xdr:col>18</xdr:col>
      <xdr:colOff>198216</xdr:colOff>
      <xdr:row>4</xdr:row>
      <xdr:rowOff>140208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1309" y="0"/>
          <a:ext cx="1149657" cy="732875"/>
        </a:xfrm>
        <a:prstGeom prst="rect">
          <a:avLst/>
        </a:prstGeom>
      </xdr:spPr>
    </xdr:pic>
    <xdr:clientData/>
  </xdr:twoCellAnchor>
  <xdr:twoCellAnchor editAs="absolute">
    <xdr:from>
      <xdr:col>18</xdr:col>
      <xdr:colOff>200025</xdr:colOff>
      <xdr:row>0</xdr:row>
      <xdr:rowOff>0</xdr:rowOff>
    </xdr:from>
    <xdr:to>
      <xdr:col>20</xdr:col>
      <xdr:colOff>59426</xdr:colOff>
      <xdr:row>4</xdr:row>
      <xdr:rowOff>140208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2775" y="0"/>
          <a:ext cx="1087068" cy="732875"/>
        </a:xfrm>
        <a:prstGeom prst="rect">
          <a:avLst/>
        </a:prstGeom>
      </xdr:spPr>
    </xdr:pic>
    <xdr:clientData/>
  </xdr:twoCellAnchor>
  <xdr:twoCellAnchor editAs="absolute">
    <xdr:from>
      <xdr:col>20</xdr:col>
      <xdr:colOff>63500</xdr:colOff>
      <xdr:row>0</xdr:row>
      <xdr:rowOff>0</xdr:rowOff>
    </xdr:from>
    <xdr:to>
      <xdr:col>22</xdr:col>
      <xdr:colOff>168826</xdr:colOff>
      <xdr:row>5</xdr:row>
      <xdr:rowOff>8975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3917" y="0"/>
          <a:ext cx="1332992" cy="74980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rainee1" refreshedDate="42544.449916203703" createdVersion="5" refreshedVersion="5" minRefreshableVersion="3" recordCount="4">
  <cacheSource type="worksheet">
    <worksheetSource ref="A44:E48" sheet="League Tables"/>
  </cacheSource>
  <cacheFields count="5">
    <cacheField name="Position" numFmtId="0">
      <sharedItems containsSemiMixedTypes="0" containsString="0" containsNumber="1" containsInteger="1" minValue="1" maxValue="4"/>
    </cacheField>
    <cacheField name="Team" numFmtId="0">
      <sharedItems/>
    </cacheField>
    <cacheField name="GD" numFmtId="0">
      <sharedItems containsSemiMixedTypes="0" containsString="0" containsNumber="1" containsInteger="1" minValue="-2" maxValue="0"/>
    </cacheField>
    <cacheField name="Pts" numFmtId="0">
      <sharedItems containsSemiMixedTypes="0" containsString="0" containsNumber="1" containsInteger="1" minValue="3" maxValue="4"/>
    </cacheField>
    <cacheField name="Group" numFmtId="0">
      <sharedItems count="4">
        <s v="B"/>
        <s v="E"/>
        <s v="C"/>
        <s v="F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">
  <r>
    <n v="1"/>
    <s v="Slovakia"/>
    <n v="0"/>
    <n v="4"/>
    <x v="0"/>
  </r>
  <r>
    <n v="2"/>
    <s v="R. of Ireland"/>
    <n v="-2"/>
    <n v="4"/>
    <x v="1"/>
  </r>
  <r>
    <n v="3"/>
    <s v="N Ireland"/>
    <n v="0"/>
    <n v="3"/>
    <x v="2"/>
  </r>
  <r>
    <n v="4"/>
    <s v="Portugal"/>
    <n v="0"/>
    <n v="3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outline="1" outlineData="1" multipleFieldFilters="0">
  <location ref="A50:A54" firstHeaderRow="1" firstDataRow="1" firstDataCol="1"/>
  <pivotFields count="5">
    <pivotField showAll="0"/>
    <pivotField showAll="0"/>
    <pivotField showAll="0"/>
    <pivotField showAll="0"/>
    <pivotField axis="axisRow" showAll="0">
      <items count="5">
        <item x="0"/>
        <item x="2"/>
        <item x="1"/>
        <item x="3"/>
        <item t="default"/>
      </items>
    </pivotField>
  </pivotFields>
  <rowFields count="1">
    <field x="4"/>
  </rowFields>
  <rowItems count="4">
    <i>
      <x/>
    </i>
    <i>
      <x v="1"/>
    </i>
    <i>
      <x v="2"/>
    </i>
    <i>
      <x v="3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FixturesA" displayName="FixturesA" ref="A7:H13" totalsRowShown="0" headerRowDxfId="73" dataDxfId="72" tableBorderDxfId="71">
  <autoFilter ref="A7:H1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name="Match" dataDxfId="70"/>
    <tableColumn id="2" name="Date" dataDxfId="69"/>
    <tableColumn id="3" name="Time" dataDxfId="68"/>
    <tableColumn id="4" name="Team1" dataDxfId="67"/>
    <tableColumn id="5" name="Team1 Score" dataDxfId="66"/>
    <tableColumn id="6" name="v" dataDxfId="65"/>
    <tableColumn id="7" name="Team2 Score" dataDxfId="64"/>
    <tableColumn id="8" name="Team2" dataDxfId="63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0" name="GroupD" displayName="GroupD" ref="A23:N27" totalsRowShown="0" headerRowDxfId="4">
  <autoFilter ref="A23:N2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4" name="Rank Ties">
      <calculatedColumnFormula>GroupD[[#This Row],[Rank]]+COUNTIF($B$24:$B24,GroupD[[#This Row],[Rank]])-1</calculatedColumnFormula>
    </tableColumn>
    <tableColumn id="1" name="Rank">
      <calculatedColumnFormula>GroupD[[#This Row],[Rank2]]+GroupD[[#This Row],[GD3]]+GroupD[[#This Row],[Goals]]</calculatedColumnFormula>
    </tableColumn>
    <tableColumn id="2" name="Team"/>
    <tableColumn id="3" name="P">
      <calculatedColumnFormula>SUMPRODUCT((FixturesD[Team1]=GroupD[[#This Row],[Team]])*(FixturesD[Team1 Score]&lt;&gt;"")+(FixturesD[Team2]=GroupD[[#This Row],[Team]])*(FixturesD[Team2 Score]&lt;&gt;""))</calculatedColumnFormula>
    </tableColumn>
    <tableColumn id="4" name="W">
      <calculatedColumnFormula>SUMPRODUCT((FixturesD[Team1]=GroupD[[#This Row],[Team]])*(FixturesD[Team1 Score]&gt;FixturesD[Team2 Score])+(FixturesD[Team2]=GroupD[[#This Row],[Team]])*(FixturesD[Team2 Score]&gt;FixturesD[Team1 Score]))</calculatedColumnFormula>
    </tableColumn>
    <tableColumn id="5" name="L">
      <calculatedColumnFormula>SUMPRODUCT((FixturesD[Team1]=GroupD[[#This Row],[Team]])*(FixturesD[Team1 Score]&lt;FixturesD[Team2 Score])+(FixturesD[Team2]=GroupD[[#This Row],[Team]])*(FixturesD[Team2 Score]&lt;FixturesD[Team1 Score]))</calculatedColumnFormula>
    </tableColumn>
    <tableColumn id="6" name="D">
      <calculatedColumnFormula>SUMPRODUCT((FixturesD[Team1]=GroupD[[#This Row],[Team]])*(FixturesD[Team1 Score]=FixturesD[Team2 Score])*(FixturesD[Team1 Score]&lt;&gt;"")+(FixturesD[Team2]=GroupD[[#This Row],[Team]])*(FixturesD[Team2 Score]=FixturesD[Team1 Score])*(FixturesD[Team2 Score]&lt;&gt;""))</calculatedColumnFormula>
    </tableColumn>
    <tableColumn id="7" name="F">
      <calculatedColumnFormula>SUMPRODUCT((FixturesD[Team1]=GroupD[[#This Row],[Team]])*(FixturesD[Team1 Score])+(FixturesD[Team2]=GroupD[[#This Row],[Team]])*(FixturesD[Team2 Score]))</calculatedColumnFormula>
    </tableColumn>
    <tableColumn id="8" name="A">
      <calculatedColumnFormula>SUMPRODUCT((FixturesD[Team1]=GroupD[[#This Row],[Team]])*(FixturesD[Team2 Score])+(FixturesD[Team2]=GroupD[[#This Row],[Team]])*(FixturesD[Team1 Score]))</calculatedColumnFormula>
    </tableColumn>
    <tableColumn id="9" name="Pts">
      <calculatedColumnFormula>GroupD[[#This Row],[W]]*3+GroupD[[#This Row],[D]]*1</calculatedColumnFormula>
    </tableColumn>
    <tableColumn id="10" name="GD">
      <calculatedColumnFormula>GroupD[[#This Row],[F]]-GroupD[[#This Row],[A]]</calculatedColumnFormula>
    </tableColumn>
    <tableColumn id="11" name="Rank2">
      <calculatedColumnFormula>RANK(J24,$J$24:$J$27)</calculatedColumnFormula>
    </tableColumn>
    <tableColumn id="12" name="GD3">
      <calculatedColumnFormula>SUMPRODUCT(($J$24:$J$27=J24)*($K$24:$K$27&gt;K24))</calculatedColumnFormula>
    </tableColumn>
    <tableColumn id="13" name="Goals">
      <calculatedColumnFormula>SUMPRODUCT(($J$24:$J$27=J24)*($K$24:$K$27=K24)*($H$24:$H$27&gt;H24))</calculatedColumnFormula>
    </tableColumn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1" name="GroupE" displayName="GroupE" ref="A30:N34" totalsRowShown="0" headerRowDxfId="3">
  <autoFilter ref="A30:N3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4" name="Rank Ties">
      <calculatedColumnFormula>GroupE[[#This Row],[Rank]]+COUNTIF($B$31:$B31,GroupE[[#This Row],[Rank]])-1</calculatedColumnFormula>
    </tableColumn>
    <tableColumn id="1" name="Rank">
      <calculatedColumnFormula>GroupE[[#This Row],[Rank2]]+GroupE[[#This Row],[GD3]]+GroupE[[#This Row],[Goals]]</calculatedColumnFormula>
    </tableColumn>
    <tableColumn id="2" name="Team"/>
    <tableColumn id="3" name="P">
      <calculatedColumnFormula>SUMPRODUCT((FixturesE[Team1]=GroupE[[#This Row],[Team]])*(FixturesE[Team1 Score]&lt;&gt;"")+(FixturesE[Team2]=GroupE[[#This Row],[Team]])*(FixturesE[Team2 Score]&lt;&gt;""))</calculatedColumnFormula>
    </tableColumn>
    <tableColumn id="4" name="W">
      <calculatedColumnFormula>SUMPRODUCT((FixturesE[Team1]=GroupE[[#This Row],[Team]])*(FixturesE[Team1 Score]&gt;FixturesE[Team2 Score])+(FixturesE[Team2]=GroupE[[#This Row],[Team]])*(FixturesE[Team2 Score]&gt;FixturesE[Team1 Score]))</calculatedColumnFormula>
    </tableColumn>
    <tableColumn id="5" name="L">
      <calculatedColumnFormula>SUMPRODUCT((FixturesE[Team1]=GroupE[[#This Row],[Team]])*(FixturesE[Team1 Score]&lt;FixturesE[Team2 Score])+(FixturesE[Team2]=GroupE[[#This Row],[Team]])*(FixturesE[Team2 Score]&lt;FixturesE[Team1 Score]))</calculatedColumnFormula>
    </tableColumn>
    <tableColumn id="6" name="D">
      <calculatedColumnFormula>SUMPRODUCT((FixturesE[Team1]=GroupE[[#This Row],[Team]])*(FixturesE[Team1 Score]=FixturesE[Team2 Score])*(FixturesE[Team1 Score]&lt;&gt;"")+(FixturesE[Team2]=GroupE[[#This Row],[Team]])*(FixturesE[Team2 Score]=FixturesE[Team1 Score])*(FixturesE[Team2 Score]&lt;&gt;""))</calculatedColumnFormula>
    </tableColumn>
    <tableColumn id="7" name="F">
      <calculatedColumnFormula>SUMPRODUCT((FixturesE[Team1]=GroupE[[#This Row],[Team]])*(FixturesE[Team1 Score])+(FixturesE[Team2]=GroupE[[#This Row],[Team]])*(FixturesE[Team2 Score]))</calculatedColumnFormula>
    </tableColumn>
    <tableColumn id="8" name="A">
      <calculatedColumnFormula>SUMPRODUCT((FixturesE[Team1]=GroupE[[#This Row],[Team]])*(FixturesE[Team2 Score])+(FixturesE[Team2]=GroupE[[#This Row],[Team]])*(FixturesE[Team1 Score]))</calculatedColumnFormula>
    </tableColumn>
    <tableColumn id="9" name="Pts">
      <calculatedColumnFormula>GroupE[[#This Row],[W]]*3+GroupE[[#This Row],[D]]*1</calculatedColumnFormula>
    </tableColumn>
    <tableColumn id="10" name="GD">
      <calculatedColumnFormula>GroupE[[#This Row],[F]]-GroupE[[#This Row],[A]]</calculatedColumnFormula>
    </tableColumn>
    <tableColumn id="11" name="Rank2">
      <calculatedColumnFormula>RANK(J31,$J$31:$J$34)</calculatedColumnFormula>
    </tableColumn>
    <tableColumn id="12" name="GD3">
      <calculatedColumnFormula>SUMPRODUCT(($J$31:$J$34=J31)*($K$31:$K$34&gt;K31))</calculatedColumnFormula>
    </tableColumn>
    <tableColumn id="13" name="Goals">
      <calculatedColumnFormula>SUMPRODUCT(($J$31:$J$34=J31)*($K$31:$K$34=K31)*($H$31:$H$34&gt;H31))</calculatedColumnFormula>
    </tableColumn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2" name="GroupF" displayName="GroupF" ref="A37:N41" totalsRowShown="0" headerRowDxfId="2">
  <autoFilter ref="A37:N4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4" name="Rank Ties">
      <calculatedColumnFormula>GroupF[[#This Row],[Rank]]+COUNTIF($B$38:$B38,GroupF[[#This Row],[Rank]])-1</calculatedColumnFormula>
    </tableColumn>
    <tableColumn id="1" name="Rank">
      <calculatedColumnFormula>GroupF[[#This Row],[Rank2]]+GroupF[[#This Row],[GD3]]+GroupF[[#This Row],[Goals]]</calculatedColumnFormula>
    </tableColumn>
    <tableColumn id="2" name="Team"/>
    <tableColumn id="3" name="P">
      <calculatedColumnFormula>SUMPRODUCT((FixturesF[Team1]=GroupF[[#This Row],[Team]])*(FixturesF[Team1 Score]&lt;&gt;"")+(FixturesF[Team2]=GroupF[[#This Row],[Team]])*(FixturesF[Team2 Score]&lt;&gt;""))</calculatedColumnFormula>
    </tableColumn>
    <tableColumn id="4" name="W">
      <calculatedColumnFormula>SUMPRODUCT((FixturesF[Team1]=GroupF[[#This Row],[Team]])*(FixturesF[Team1 Score]&gt;FixturesF[Team2 Score])+(FixturesF[Team2]=GroupF[[#This Row],[Team]])*(FixturesF[Team2 Score]&gt;FixturesF[Team1 Score]))</calculatedColumnFormula>
    </tableColumn>
    <tableColumn id="5" name="L">
      <calculatedColumnFormula>SUMPRODUCT((FixturesF[Team1]=GroupF[[#This Row],[Team]])*(FixturesF[Team1 Score]&lt;FixturesF[Team2 Score])+(FixturesF[Team2]=GroupF[[#This Row],[Team]])*(FixturesF[Team2 Score]&lt;FixturesF[Team1 Score]))</calculatedColumnFormula>
    </tableColumn>
    <tableColumn id="6" name="D">
      <calculatedColumnFormula>SUMPRODUCT((FixturesF[Team1]=GroupF[[#This Row],[Team]])*(FixturesF[Team1 Score]=FixturesF[Team2 Score])*(FixturesF[Team1 Score]&lt;&gt;"")+(FixturesF[Team2]=GroupF[[#This Row],[Team]])*(FixturesF[Team2 Score]=FixturesF[Team1 Score])*(FixturesF[Team2 Score]&lt;&gt;""))</calculatedColumnFormula>
    </tableColumn>
    <tableColumn id="7" name="F">
      <calculatedColumnFormula>SUMPRODUCT((FixturesF[Team1]=GroupF[[#This Row],[Team]])*(FixturesF[Team1 Score])+(FixturesF[Team2]=GroupF[[#This Row],[Team]])*(FixturesF[Team2 Score]))</calculatedColumnFormula>
    </tableColumn>
    <tableColumn id="8" name="A">
      <calculatedColumnFormula>SUMPRODUCT((FixturesF[Team1]=GroupF[[#This Row],[Team]])*(FixturesF[Team2 Score])+(FixturesF[Team2]=GroupF[[#This Row],[Team]])*(FixturesF[Team1 Score]))</calculatedColumnFormula>
    </tableColumn>
    <tableColumn id="9" name="Pts">
      <calculatedColumnFormula>GroupF[[#This Row],[W]]*3+GroupF[[#This Row],[D]]*1</calculatedColumnFormula>
    </tableColumn>
    <tableColumn id="10" name="GD">
      <calculatedColumnFormula>GroupF[[#This Row],[F]]-GroupF[[#This Row],[A]]</calculatedColumnFormula>
    </tableColumn>
    <tableColumn id="11" name="Rank2">
      <calculatedColumnFormula>RANK(J38,$J$38:$J$41)</calculatedColumnFormula>
    </tableColumn>
    <tableColumn id="12" name="GD3">
      <calculatedColumnFormula>SUMPRODUCT(($J$38:$J$41=J38)*($K$38:$K$41&gt;K38))</calculatedColumnFormula>
    </tableColumn>
    <tableColumn id="13" name="Goals">
      <calculatedColumnFormula>SUMPRODUCT(($J$38:$J$41=J38)*($K$38:$K$41=K38)*($H$38:$H$41&gt;H38))</calculatedColumnFormula>
    </tableColumn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3" name="ThirdTable" displayName="ThirdTable" ref="A44:J50" totalsRowShown="0" headerRowDxfId="1">
  <autoFilter ref="A44:J5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name="Rank Ties">
      <calculatedColumnFormula>ThirdTable[[#This Row],[Rank]]+COUNTIF($B$45:$B45,ThirdTable[[#This Row],[Rank]])-1</calculatedColumnFormula>
    </tableColumn>
    <tableColumn id="2" name="Rank">
      <calculatedColumnFormula>ThirdTable[[#This Row],[Rank2]]+ThirdTable[[#This Row],[GD3]]+ThirdTable[[#This Row],[Goals2]]</calculatedColumnFormula>
    </tableColumn>
    <tableColumn id="3" name="Team"/>
    <tableColumn id="12" name="Group"/>
    <tableColumn id="10" name="Goals"/>
    <tableColumn id="4" name="GD"/>
    <tableColumn id="5" name="Pts"/>
    <tableColumn id="6" name="Rank2">
      <calculatedColumnFormula>RANK(G45,$G$45:$G$50)</calculatedColumnFormula>
    </tableColumn>
    <tableColumn id="7" name="GD3">
      <calculatedColumnFormula>SUMPRODUCT(($G$45:$G$50=G45)*($F$45:$F$50&gt;F45))</calculatedColumnFormula>
    </tableColumn>
    <tableColumn id="11" name="Goals2">
      <calculatedColumnFormula>SUMPRODUCT(($G$38:$G$41=G38)*($F$38:$F$41=F38)*($E$38:$E$41&gt;E38))</calculatedColumnFormula>
    </tableColumn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4" name="permutations" displayName="permutations" ref="K31:O46" totalsRowShown="0" headerRowDxfId="0">
  <autoFilter ref="K31:O46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Best Ranked Groups"/>
    <tableColumn id="2" name="Winner A"/>
    <tableColumn id="3" name="Winner B"/>
    <tableColumn id="4" name="Winner C"/>
    <tableColumn id="5" name="Winner D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FixturesD" displayName="FixturesD" ref="A22:H28" totalsRowShown="0" headerRowDxfId="62" dataDxfId="61" tableBorderDxfId="60">
  <autoFilter ref="A22:H28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name="Match" dataDxfId="59"/>
    <tableColumn id="2" name="Date" dataDxfId="58"/>
    <tableColumn id="3" name="Time" dataDxfId="57"/>
    <tableColumn id="4" name="Team1" dataDxfId="56"/>
    <tableColumn id="5" name="Team1 Score" dataDxfId="55"/>
    <tableColumn id="6" name="v" dataDxfId="54"/>
    <tableColumn id="7" name="Team2 Score" dataDxfId="53"/>
    <tableColumn id="8" name="Team2" dataDxfId="52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FixturesB" displayName="FixturesB" ref="J7:Q13" totalsRowShown="0" headerRowDxfId="51" dataDxfId="50" tableBorderDxfId="49">
  <autoFilter ref="J7:Q1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name="Match" dataDxfId="48"/>
    <tableColumn id="2" name="Date" dataDxfId="47"/>
    <tableColumn id="3" name="Time" dataDxfId="46"/>
    <tableColumn id="4" name="Team1" dataDxfId="45"/>
    <tableColumn id="5" name="Team1 Score" dataDxfId="44"/>
    <tableColumn id="6" name="v" dataDxfId="43"/>
    <tableColumn id="7" name="Team2 Score" dataDxfId="42"/>
    <tableColumn id="8" name="Team2" dataDxfId="41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" name="FixturesE" displayName="FixturesE" ref="J22:Q28" totalsRowShown="0" headerRowDxfId="40" dataDxfId="39" tableBorderDxfId="38">
  <autoFilter ref="J22:Q28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name="Match" dataDxfId="37"/>
    <tableColumn id="2" name="Date" dataDxfId="36"/>
    <tableColumn id="3" name="Time" dataDxfId="35"/>
    <tableColumn id="4" name="Team1" dataDxfId="34"/>
    <tableColumn id="5" name="Team1 Score" dataDxfId="33"/>
    <tableColumn id="6" name="v" dataDxfId="32"/>
    <tableColumn id="7" name="Team2 Score" dataDxfId="31"/>
    <tableColumn id="8" name="Team2" dataDxfId="30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FixturesC" displayName="FixturesC" ref="S7:Z13" totalsRowShown="0" headerRowDxfId="29" dataDxfId="28" tableBorderDxfId="27">
  <autoFilter ref="S7:Z1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name="Match" dataDxfId="26"/>
    <tableColumn id="2" name="Date" dataDxfId="25"/>
    <tableColumn id="3" name="Time" dataDxfId="24"/>
    <tableColumn id="4" name="Team1" dataDxfId="23"/>
    <tableColumn id="5" name="Team1 Score" dataDxfId="22"/>
    <tableColumn id="6" name="v" dataDxfId="21"/>
    <tableColumn id="7" name="Team2 Score" dataDxfId="20"/>
    <tableColumn id="8" name="Team2" dataDxfId="19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FixturesF" displayName="FixturesF" ref="S22:Z28" totalsRowShown="0" headerRowDxfId="18" dataDxfId="17" tableBorderDxfId="16">
  <autoFilter ref="S22:Z28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name="Match" dataDxfId="15"/>
    <tableColumn id="2" name="Date" dataDxfId="14"/>
    <tableColumn id="3" name="Time" dataDxfId="13"/>
    <tableColumn id="4" name="Team1" dataDxfId="12"/>
    <tableColumn id="5" name="Team1 Score" dataDxfId="11"/>
    <tableColumn id="6" name="v" dataDxfId="10"/>
    <tableColumn id="7" name="Team2 Score" dataDxfId="9"/>
    <tableColumn id="8" name="Team2" dataDxfId="8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GroupA" displayName="GroupA" ref="A2:N6" totalsRowShown="0" headerRowDxfId="7">
  <autoFilter ref="A2:N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4" name="Rank Ties">
      <calculatedColumnFormula>GroupA[[#This Row],[Rank]]+COUNTIF($B$3:$B3,GroupA[[#This Row],[Rank]])-1</calculatedColumnFormula>
    </tableColumn>
    <tableColumn id="1" name="Rank">
      <calculatedColumnFormula>GroupA[[#This Row],[Rank2]]+GroupA[[#This Row],[GD3]]+GroupA[[#This Row],[Goals]]</calculatedColumnFormula>
    </tableColumn>
    <tableColumn id="2" name="Team"/>
    <tableColumn id="3" name="P">
      <calculatedColumnFormula>SUMPRODUCT((FixturesA[Team1]=GroupA[[#This Row],[Team]])*(FixturesA[Team1 Score]&lt;&gt;"")+(FixturesA[Team2]=GroupA[[#This Row],[Team]])*(FixturesA[Team2 Score]&lt;&gt;""))</calculatedColumnFormula>
    </tableColumn>
    <tableColumn id="4" name="W">
      <calculatedColumnFormula>SUMPRODUCT((FixturesA[Team1]=GroupA[[#This Row],[Team]])*(FixturesA[Team1 Score]&gt;FixturesA[Team2 Score])+(FixturesA[Team2]=GroupA[[#This Row],[Team]])*(FixturesA[Team2 Score]&gt;FixturesA[Team1 Score]))</calculatedColumnFormula>
    </tableColumn>
    <tableColumn id="5" name="L">
      <calculatedColumnFormula>SUMPRODUCT((FixturesA[Team1]=GroupA[[#This Row],[Team]])*(FixturesA[Team1 Score]&lt;FixturesA[Team2 Score])+(FixturesA[Team2]=GroupA[[#This Row],[Team]])*(FixturesA[Team2 Score]&lt;FixturesA[Team1 Score]))</calculatedColumnFormula>
    </tableColumn>
    <tableColumn id="6" name="D">
      <calculatedColumnFormula>SUMPRODUCT((FixturesA[Team1]=GroupA[[#This Row],[Team]])*(FixturesA[Team1 Score]=FixturesA[Team2 Score])*(FixturesA[Team1 Score]&lt;&gt;"")+(FixturesA[Team2]=GroupA[[#This Row],[Team]])*(FixturesA[Team2 Score]=FixturesA[Team1 Score])*(FixturesA[Team2 Score]&lt;&gt;""))</calculatedColumnFormula>
    </tableColumn>
    <tableColumn id="7" name="F">
      <calculatedColumnFormula>SUMPRODUCT((FixturesA[Team1]=GroupA[[#This Row],[Team]])*(FixturesA[Team1 Score])+(FixturesA[Team2]=GroupA[[#This Row],[Team]])*(FixturesA[Team2 Score]))</calculatedColumnFormula>
    </tableColumn>
    <tableColumn id="8" name="A">
      <calculatedColumnFormula>SUMPRODUCT((FixturesA[Team1]=GroupA[[#This Row],[Team]])*(FixturesA[Team2 Score])+(FixturesA[Team2]=GroupA[[#This Row],[Team]])*(FixturesA[Team1 Score]))</calculatedColumnFormula>
    </tableColumn>
    <tableColumn id="9" name="Pts">
      <calculatedColumnFormula>GroupA[[#This Row],[W]]*3+GroupA[[#This Row],[D]]*1</calculatedColumnFormula>
    </tableColumn>
    <tableColumn id="10" name="GD">
      <calculatedColumnFormula>GroupA[[#This Row],[F]]-GroupA[[#This Row],[A]]</calculatedColumnFormula>
    </tableColumn>
    <tableColumn id="11" name="Rank2">
      <calculatedColumnFormula>RANK(J3,$J$3:$J$6)</calculatedColumnFormula>
    </tableColumn>
    <tableColumn id="12" name="GD3">
      <calculatedColumnFormula>SUMPRODUCT(($J$3:$J$6=J3)*($K$3:$K$6&gt;K3))</calculatedColumnFormula>
    </tableColumn>
    <tableColumn id="13" name="Goals">
      <calculatedColumnFormula>SUMPRODUCT(($J$3:$J$6=J3)*($K$3:$K$6=K3)*($H$3:$H$6&gt;H3))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8" name="GroupB" displayName="GroupB" ref="A9:N13" totalsRowShown="0" headerRowDxfId="6">
  <autoFilter ref="A9:N1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4" name="Rank Ties">
      <calculatedColumnFormula>GroupB[[#This Row],[Rank]]+COUNTIF($B$10:$B10,GroupB[[#This Row],[Rank]])-1</calculatedColumnFormula>
    </tableColumn>
    <tableColumn id="1" name="Rank">
      <calculatedColumnFormula>GroupB[[#This Row],[Rank2]]+GroupB[[#This Row],[GD3]]+GroupB[[#This Row],[Goals]]</calculatedColumnFormula>
    </tableColumn>
    <tableColumn id="2" name="Team"/>
    <tableColumn id="3" name="P">
      <calculatedColumnFormula>SUMPRODUCT((FixturesB[Team1]=GroupB[[#This Row],[Team]])*(FixturesB[Team1 Score]&lt;&gt;"")+(FixturesB[Team2]=GroupB[[#This Row],[Team]])*(FixturesB[Team2 Score]&lt;&gt;""))</calculatedColumnFormula>
    </tableColumn>
    <tableColumn id="4" name="W">
      <calculatedColumnFormula>SUMPRODUCT((FixturesB[Team1]=GroupB[[#This Row],[Team]])*(FixturesB[Team1 Score]&gt;FixturesB[Team2 Score])+(FixturesB[Team2]=GroupB[[#This Row],[Team]])*(FixturesB[Team2 Score]&gt;FixturesB[Team1 Score]))</calculatedColumnFormula>
    </tableColumn>
    <tableColumn id="5" name="L">
      <calculatedColumnFormula>SUMPRODUCT((FixturesB[Team1]=GroupB[[#This Row],[Team]])*(FixturesB[Team1 Score]&lt;FixturesB[Team2 Score])+(FixturesB[Team2]=GroupB[[#This Row],[Team]])*(FixturesB[Team2 Score]&lt;FixturesB[Team1 Score]))</calculatedColumnFormula>
    </tableColumn>
    <tableColumn id="6" name="D">
      <calculatedColumnFormula>SUMPRODUCT((FixturesB[Team1]=GroupB[[#This Row],[Team]])*(FixturesB[Team1 Score]=FixturesB[Team2 Score])*(FixturesB[Team1 Score]&lt;&gt;"")+(FixturesB[Team2]=GroupB[[#This Row],[Team]])*(FixturesB[Team2 Score]=FixturesB[Team1 Score])*(FixturesB[Team2 Score]&lt;&gt;""))</calculatedColumnFormula>
    </tableColumn>
    <tableColumn id="7" name="F">
      <calculatedColumnFormula>SUMPRODUCT((FixturesB[Team1]=GroupB[[#This Row],[Team]])*(FixturesB[Team1 Score])+(FixturesB[Team2]=GroupB[[#This Row],[Team]])*(FixturesB[Team2 Score]))</calculatedColumnFormula>
    </tableColumn>
    <tableColumn id="8" name="A">
      <calculatedColumnFormula>SUMPRODUCT((FixturesB[Team1]=GroupB[[#This Row],[Team]])*(FixturesB[Team2 Score])+(FixturesB[Team2]=GroupB[[#This Row],[Team]])*(FixturesB[Team1 Score]))</calculatedColumnFormula>
    </tableColumn>
    <tableColumn id="9" name="Pts">
      <calculatedColumnFormula>GroupB[[#This Row],[W]]*3+GroupB[[#This Row],[D]]*1</calculatedColumnFormula>
    </tableColumn>
    <tableColumn id="10" name="GD">
      <calculatedColumnFormula>GroupB[[#This Row],[F]]-GroupB[[#This Row],[A]]</calculatedColumnFormula>
    </tableColumn>
    <tableColumn id="11" name="Rank2">
      <calculatedColumnFormula>RANK(J10,$J$10:$J$13)</calculatedColumnFormula>
    </tableColumn>
    <tableColumn id="12" name="GD3">
      <calculatedColumnFormula>SUMPRODUCT(($J$10:$J$13=J10)*($K$10:$K$13&gt;K10))</calculatedColumnFormula>
    </tableColumn>
    <tableColumn id="13" name="Goals">
      <calculatedColumnFormula>SUMPRODUCT(($J$10:$J$13=J10)*($K$10:$K$13=K10)*($H$10:$H$13&gt;H10))</calculatedColumnFormula>
    </tableColumn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9" name="GroupC" displayName="GroupC" ref="A16:N20" totalsRowShown="0" headerRowDxfId="5">
  <autoFilter ref="A16:N2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4" name="Rank Ties">
      <calculatedColumnFormula>GroupC[[#This Row],[Rank]]+COUNTIF($B$17:$B17,GroupC[[#This Row],[Rank]])-1</calculatedColumnFormula>
    </tableColumn>
    <tableColumn id="1" name="Rank">
      <calculatedColumnFormula>GroupC[[#This Row],[Rank2]]+GroupC[[#This Row],[GD3]]+GroupC[[#This Row],[Goals]]</calculatedColumnFormula>
    </tableColumn>
    <tableColumn id="2" name="Team"/>
    <tableColumn id="3" name="P">
      <calculatedColumnFormula>SUMPRODUCT((FixturesC[Team1]=GroupC[[#This Row],[Team]])*(FixturesC[Team1 Score]&lt;&gt;"")+(FixturesC[Team2]=GroupC[[#This Row],[Team]])*(FixturesC[Team2 Score]&lt;&gt;""))</calculatedColumnFormula>
    </tableColumn>
    <tableColumn id="4" name="W">
      <calculatedColumnFormula>SUMPRODUCT((FixturesC[Team1]=GroupC[[#This Row],[Team]])*(FixturesC[Team1 Score]&gt;FixturesC[Team2 Score])+(FixturesC[Team2]=GroupC[[#This Row],[Team]])*(FixturesC[Team2 Score]&gt;FixturesC[Team1 Score]))</calculatedColumnFormula>
    </tableColumn>
    <tableColumn id="5" name="L">
      <calculatedColumnFormula>SUMPRODUCT((FixturesC[Team1]=GroupC[[#This Row],[Team]])*(FixturesC[Team1 Score]&lt;FixturesC[Team2 Score])+(FixturesC[Team2]=GroupC[[#This Row],[Team]])*(FixturesC[Team2 Score]&lt;FixturesC[Team1 Score]))</calculatedColumnFormula>
    </tableColumn>
    <tableColumn id="6" name="D">
      <calculatedColumnFormula>SUMPRODUCT((FixturesC[Team1]=GroupC[[#This Row],[Team]])*(FixturesC[Team1 Score]=FixturesC[Team2 Score])*(FixturesC[Team1 Score]&lt;&gt;"")+(FixturesC[Team2]=GroupC[[#This Row],[Team]])*(FixturesC[Team2 Score]=FixturesC[Team1 Score])*(FixturesC[Team2 Score]&lt;&gt;""))</calculatedColumnFormula>
    </tableColumn>
    <tableColumn id="7" name="F">
      <calculatedColumnFormula>SUMPRODUCT((FixturesC[Team1]=GroupC[[#This Row],[Team]])*(FixturesC[Team1 Score])+(FixturesC[Team2]=GroupC[[#This Row],[Team]])*(FixturesC[Team2 Score]))</calculatedColumnFormula>
    </tableColumn>
    <tableColumn id="8" name="A">
      <calculatedColumnFormula>SUMPRODUCT((FixturesC[Team1]=GroupC[[#This Row],[Team]])*(FixturesC[Team2 Score])+(FixturesC[Team2]=GroupC[[#This Row],[Team]])*(FixturesC[Team1 Score]))</calculatedColumnFormula>
    </tableColumn>
    <tableColumn id="9" name="Pts">
      <calculatedColumnFormula>GroupC[[#This Row],[W]]*3+GroupC[[#This Row],[D]]*1</calculatedColumnFormula>
    </tableColumn>
    <tableColumn id="10" name="GD">
      <calculatedColumnFormula>GroupC[[#This Row],[F]]-GroupC[[#This Row],[A]]</calculatedColumnFormula>
    </tableColumn>
    <tableColumn id="11" name="Rank2">
      <calculatedColumnFormula>RANK(J17,$J$17:$J$20)</calculatedColumnFormula>
    </tableColumn>
    <tableColumn id="12" name="GD3">
      <calculatedColumnFormula>SUMPRODUCT(($J$17:$J$20=J17)*($K$17:$K$20&gt;K17))</calculatedColumnFormula>
    </tableColumn>
    <tableColumn id="13" name="Goals">
      <calculatedColumnFormula>SUMPRODUCT(($J$17:$J$20=J17)*($K$17:$K$20=K17)*($H$17:$H$20&gt;H17))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3" Type="http://schemas.openxmlformats.org/officeDocument/2006/relationships/vmlDrawing" Target="../drawings/vmlDrawing1.vml"/><Relationship Id="rId7" Type="http://schemas.openxmlformats.org/officeDocument/2006/relationships/table" Target="../tables/table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.xml"/><Relationship Id="rId3" Type="http://schemas.openxmlformats.org/officeDocument/2006/relationships/table" Target="../tables/table8.xml"/><Relationship Id="rId7" Type="http://schemas.openxmlformats.org/officeDocument/2006/relationships/table" Target="../tables/table12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11.xml"/><Relationship Id="rId5" Type="http://schemas.openxmlformats.org/officeDocument/2006/relationships/table" Target="../tables/table10.xml"/><Relationship Id="rId4" Type="http://schemas.openxmlformats.org/officeDocument/2006/relationships/table" Target="../tables/table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Z66"/>
  <sheetViews>
    <sheetView showGridLines="0" zoomScale="90" zoomScaleNormal="90" workbookViewId="0">
      <pane ySplit="5" topLeftCell="A9" activePane="bottomLeft" state="frozen"/>
      <selection pane="bottomLeft" activeCell="E29" sqref="E29"/>
    </sheetView>
  </sheetViews>
  <sheetFormatPr defaultRowHeight="12" customHeight="1" x14ac:dyDescent="0.2"/>
  <cols>
    <col min="1" max="1" width="8.140625" style="9" customWidth="1"/>
    <col min="2" max="2" width="10.7109375" style="9" bestFit="1" customWidth="1"/>
    <col min="3" max="3" width="7.5703125" style="9" customWidth="1"/>
    <col min="4" max="4" width="13.28515625" style="7" customWidth="1"/>
    <col min="5" max="5" width="4.28515625" style="7" customWidth="1"/>
    <col min="6" max="6" width="4" style="12" customWidth="1"/>
    <col min="7" max="7" width="4.28515625" style="7" customWidth="1"/>
    <col min="8" max="8" width="13.28515625" style="7" customWidth="1"/>
    <col min="9" max="9" width="4.7109375" style="7" customWidth="1"/>
    <col min="10" max="10" width="8.140625" style="9" customWidth="1"/>
    <col min="11" max="11" width="10.7109375" style="9" customWidth="1"/>
    <col min="12" max="12" width="7.5703125" style="9" customWidth="1"/>
    <col min="13" max="13" width="13.28515625" style="7" customWidth="1"/>
    <col min="14" max="14" width="4.28515625" style="7" customWidth="1"/>
    <col min="15" max="15" width="4" style="7" customWidth="1"/>
    <col min="16" max="16" width="4.28515625" style="7" customWidth="1"/>
    <col min="17" max="17" width="13.28515625" style="7" customWidth="1"/>
    <col min="18" max="18" width="4.7109375" style="7" customWidth="1"/>
    <col min="19" max="19" width="8.140625" style="7" customWidth="1"/>
    <col min="20" max="20" width="10.7109375" style="7" customWidth="1"/>
    <col min="21" max="21" width="9.140625" style="7"/>
    <col min="22" max="22" width="13.28515625" style="7" customWidth="1"/>
    <col min="23" max="23" width="4.28515625" style="7" customWidth="1"/>
    <col min="24" max="24" width="4" style="7" customWidth="1"/>
    <col min="25" max="25" width="4.28515625" style="7" customWidth="1"/>
    <col min="26" max="26" width="13.28515625" style="7" customWidth="1"/>
    <col min="27" max="16384" width="9.140625" style="7"/>
  </cols>
  <sheetData>
    <row r="6" spans="1:26" ht="12" customHeight="1" x14ac:dyDescent="0.2">
      <c r="A6" s="40" t="s">
        <v>13</v>
      </c>
      <c r="B6" s="41"/>
      <c r="C6" s="41"/>
      <c r="D6" s="41"/>
      <c r="E6" s="41"/>
      <c r="F6" s="41"/>
      <c r="G6" s="41"/>
      <c r="H6" s="42"/>
      <c r="J6" s="40" t="s">
        <v>15</v>
      </c>
      <c r="K6" s="41"/>
      <c r="L6" s="41"/>
      <c r="M6" s="41"/>
      <c r="N6" s="41"/>
      <c r="O6" s="41"/>
      <c r="P6" s="41"/>
      <c r="Q6" s="42"/>
      <c r="S6" s="40" t="s">
        <v>16</v>
      </c>
      <c r="T6" s="41"/>
      <c r="U6" s="41"/>
      <c r="V6" s="41"/>
      <c r="W6" s="41"/>
      <c r="X6" s="41"/>
      <c r="Y6" s="41"/>
      <c r="Z6" s="42"/>
    </row>
    <row r="7" spans="1:26" ht="12" customHeight="1" thickBot="1" x14ac:dyDescent="0.25">
      <c r="A7" s="8" t="s">
        <v>44</v>
      </c>
      <c r="B7" s="8" t="s">
        <v>2</v>
      </c>
      <c r="C7" s="8" t="s">
        <v>11</v>
      </c>
      <c r="D7" s="21" t="s">
        <v>81</v>
      </c>
      <c r="E7" s="22" t="s">
        <v>83</v>
      </c>
      <c r="F7" s="9" t="s">
        <v>12</v>
      </c>
      <c r="G7" s="22" t="s">
        <v>84</v>
      </c>
      <c r="H7" s="21" t="s">
        <v>82</v>
      </c>
      <c r="J7" s="8" t="s">
        <v>44</v>
      </c>
      <c r="K7" s="8" t="s">
        <v>2</v>
      </c>
      <c r="L7" s="8" t="s">
        <v>11</v>
      </c>
      <c r="M7" s="21" t="s">
        <v>81</v>
      </c>
      <c r="N7" s="22" t="s">
        <v>83</v>
      </c>
      <c r="O7" s="9" t="s">
        <v>12</v>
      </c>
      <c r="P7" s="22" t="s">
        <v>84</v>
      </c>
      <c r="Q7" s="21" t="s">
        <v>82</v>
      </c>
      <c r="S7" s="8" t="s">
        <v>44</v>
      </c>
      <c r="T7" s="8" t="s">
        <v>2</v>
      </c>
      <c r="U7" s="8" t="s">
        <v>11</v>
      </c>
      <c r="V7" s="21" t="s">
        <v>81</v>
      </c>
      <c r="W7" s="22" t="s">
        <v>83</v>
      </c>
      <c r="X7" s="9" t="s">
        <v>12</v>
      </c>
      <c r="Y7" s="22" t="s">
        <v>84</v>
      </c>
      <c r="Z7" s="21" t="s">
        <v>82</v>
      </c>
    </row>
    <row r="8" spans="1:26" ht="12" customHeight="1" thickBot="1" x14ac:dyDescent="0.25">
      <c r="A8" s="9">
        <v>1</v>
      </c>
      <c r="B8" s="10">
        <v>42531</v>
      </c>
      <c r="C8" s="11">
        <v>0.83333333333333337</v>
      </c>
      <c r="D8" s="23" t="s">
        <v>14</v>
      </c>
      <c r="E8" s="5">
        <v>2</v>
      </c>
      <c r="F8" s="7"/>
      <c r="G8" s="5">
        <v>1</v>
      </c>
      <c r="H8" s="24" t="s">
        <v>50</v>
      </c>
      <c r="J8" s="9">
        <v>3</v>
      </c>
      <c r="K8" s="10">
        <v>42532</v>
      </c>
      <c r="L8" s="11">
        <v>0.70833333333333337</v>
      </c>
      <c r="M8" s="25" t="s">
        <v>52</v>
      </c>
      <c r="N8" s="5">
        <v>2</v>
      </c>
      <c r="O8" s="12"/>
      <c r="P8" s="5">
        <v>1</v>
      </c>
      <c r="Q8" s="26" t="s">
        <v>23</v>
      </c>
      <c r="S8" s="12">
        <v>6</v>
      </c>
      <c r="T8" s="14">
        <v>42533</v>
      </c>
      <c r="U8" s="15">
        <v>0.70833333333333337</v>
      </c>
      <c r="V8" s="25" t="s">
        <v>54</v>
      </c>
      <c r="W8" s="5">
        <v>1</v>
      </c>
      <c r="Y8" s="5">
        <v>0</v>
      </c>
      <c r="Z8" s="24" t="s">
        <v>53</v>
      </c>
    </row>
    <row r="9" spans="1:26" ht="12" customHeight="1" thickBot="1" x14ac:dyDescent="0.25">
      <c r="A9" s="9">
        <v>2</v>
      </c>
      <c r="B9" s="10">
        <v>42532</v>
      </c>
      <c r="C9" s="11">
        <v>0.58333333333333337</v>
      </c>
      <c r="D9" s="23" t="s">
        <v>49</v>
      </c>
      <c r="E9" s="5">
        <v>0</v>
      </c>
      <c r="G9" s="5">
        <v>1</v>
      </c>
      <c r="H9" s="24" t="s">
        <v>26</v>
      </c>
      <c r="I9" s="16"/>
      <c r="J9" s="18">
        <v>4</v>
      </c>
      <c r="K9" s="10">
        <v>42532</v>
      </c>
      <c r="L9" s="11">
        <v>0.83333333333333337</v>
      </c>
      <c r="M9" s="25" t="s">
        <v>17</v>
      </c>
      <c r="N9" s="5">
        <v>1</v>
      </c>
      <c r="O9" s="12"/>
      <c r="P9" s="5">
        <v>1</v>
      </c>
      <c r="Q9" s="27" t="s">
        <v>51</v>
      </c>
      <c r="S9" s="12">
        <v>7</v>
      </c>
      <c r="T9" s="14">
        <v>42533</v>
      </c>
      <c r="U9" s="15">
        <v>0.83333333333333337</v>
      </c>
      <c r="V9" s="25" t="s">
        <v>19</v>
      </c>
      <c r="W9" s="5">
        <v>2</v>
      </c>
      <c r="Y9" s="5">
        <v>0</v>
      </c>
      <c r="Z9" s="24" t="s">
        <v>55</v>
      </c>
    </row>
    <row r="10" spans="1:26" ht="12" customHeight="1" thickBot="1" x14ac:dyDescent="0.25">
      <c r="A10" s="9">
        <v>14</v>
      </c>
      <c r="B10" s="10">
        <v>42536</v>
      </c>
      <c r="C10" s="11">
        <v>0.70833333333333337</v>
      </c>
      <c r="D10" s="23" t="s">
        <v>50</v>
      </c>
      <c r="E10" s="5">
        <v>1</v>
      </c>
      <c r="G10" s="5">
        <v>1</v>
      </c>
      <c r="H10" s="24" t="s">
        <v>26</v>
      </c>
      <c r="I10" s="16"/>
      <c r="J10" s="18">
        <v>13</v>
      </c>
      <c r="K10" s="10">
        <v>42536</v>
      </c>
      <c r="L10" s="11">
        <v>0.58333333333333337</v>
      </c>
      <c r="M10" s="25" t="s">
        <v>51</v>
      </c>
      <c r="N10" s="5">
        <v>1</v>
      </c>
      <c r="O10" s="12"/>
      <c r="P10" s="5">
        <v>2</v>
      </c>
      <c r="Q10" s="27" t="s">
        <v>23</v>
      </c>
      <c r="S10" s="12">
        <v>17</v>
      </c>
      <c r="T10" s="14">
        <v>42537</v>
      </c>
      <c r="U10" s="15">
        <v>0.70833333333333337</v>
      </c>
      <c r="V10" s="25" t="s">
        <v>55</v>
      </c>
      <c r="W10" s="5">
        <v>0</v>
      </c>
      <c r="Y10" s="5">
        <v>2</v>
      </c>
      <c r="Z10" s="24" t="s">
        <v>53</v>
      </c>
    </row>
    <row r="11" spans="1:26" ht="12" customHeight="1" thickBot="1" x14ac:dyDescent="0.25">
      <c r="A11" s="9">
        <v>15</v>
      </c>
      <c r="B11" s="10">
        <v>42536</v>
      </c>
      <c r="C11" s="11">
        <v>0.83333333333333337</v>
      </c>
      <c r="D11" s="23" t="s">
        <v>14</v>
      </c>
      <c r="E11" s="5">
        <v>2</v>
      </c>
      <c r="G11" s="5">
        <v>0</v>
      </c>
      <c r="H11" s="24" t="s">
        <v>49</v>
      </c>
      <c r="I11" s="16"/>
      <c r="J11" s="18">
        <v>16</v>
      </c>
      <c r="K11" s="10">
        <v>42537</v>
      </c>
      <c r="L11" s="11">
        <v>0.58333333333333337</v>
      </c>
      <c r="M11" s="25" t="s">
        <v>17</v>
      </c>
      <c r="N11" s="5">
        <v>2</v>
      </c>
      <c r="O11" s="12"/>
      <c r="P11" s="5">
        <v>1</v>
      </c>
      <c r="Q11" s="27" t="s">
        <v>52</v>
      </c>
      <c r="S11" s="12">
        <v>18</v>
      </c>
      <c r="T11" s="14">
        <v>42537</v>
      </c>
      <c r="U11" s="15">
        <v>0.83333333333333337</v>
      </c>
      <c r="V11" s="25" t="s">
        <v>19</v>
      </c>
      <c r="W11" s="5">
        <v>0</v>
      </c>
      <c r="Y11" s="5">
        <v>0</v>
      </c>
      <c r="Z11" s="24" t="s">
        <v>54</v>
      </c>
    </row>
    <row r="12" spans="1:26" ht="12" customHeight="1" thickBot="1" x14ac:dyDescent="0.25">
      <c r="A12" s="9">
        <v>25</v>
      </c>
      <c r="B12" s="10">
        <v>42540</v>
      </c>
      <c r="C12" s="11">
        <v>0.83333333333333337</v>
      </c>
      <c r="D12" s="23" t="s">
        <v>50</v>
      </c>
      <c r="E12" s="5">
        <v>0</v>
      </c>
      <c r="G12" s="5">
        <v>1</v>
      </c>
      <c r="H12" s="24" t="s">
        <v>49</v>
      </c>
      <c r="I12" s="16"/>
      <c r="J12" s="18">
        <v>27</v>
      </c>
      <c r="K12" s="10">
        <v>42541</v>
      </c>
      <c r="L12" s="11">
        <v>0.83333333333333337</v>
      </c>
      <c r="M12" s="25" t="s">
        <v>51</v>
      </c>
      <c r="N12" s="5">
        <v>0</v>
      </c>
      <c r="O12" s="12"/>
      <c r="P12" s="5">
        <v>3</v>
      </c>
      <c r="Q12" s="27" t="s">
        <v>52</v>
      </c>
      <c r="S12" s="12">
        <v>29</v>
      </c>
      <c r="T12" s="14">
        <v>42542</v>
      </c>
      <c r="U12" s="15">
        <v>0.70833333333333337</v>
      </c>
      <c r="V12" s="25" t="s">
        <v>53</v>
      </c>
      <c r="W12" s="5">
        <v>0</v>
      </c>
      <c r="Y12" s="5">
        <v>1</v>
      </c>
      <c r="Z12" s="24" t="s">
        <v>19</v>
      </c>
    </row>
    <row r="13" spans="1:26" ht="12" customHeight="1" thickBot="1" x14ac:dyDescent="0.25">
      <c r="A13" s="9">
        <v>26</v>
      </c>
      <c r="B13" s="10">
        <v>42540</v>
      </c>
      <c r="C13" s="11">
        <v>0.83333333333333337</v>
      </c>
      <c r="D13" s="23" t="s">
        <v>26</v>
      </c>
      <c r="E13" s="5">
        <v>0</v>
      </c>
      <c r="G13" s="5">
        <v>0</v>
      </c>
      <c r="H13" s="24" t="s">
        <v>14</v>
      </c>
      <c r="I13" s="16"/>
      <c r="J13" s="18">
        <v>28</v>
      </c>
      <c r="K13" s="10">
        <v>42541</v>
      </c>
      <c r="L13" s="11">
        <v>0.83333333333333337</v>
      </c>
      <c r="M13" s="25" t="s">
        <v>23</v>
      </c>
      <c r="N13" s="5">
        <v>0</v>
      </c>
      <c r="P13" s="5">
        <v>0</v>
      </c>
      <c r="Q13" s="27" t="s">
        <v>17</v>
      </c>
      <c r="S13" s="12">
        <v>30</v>
      </c>
      <c r="T13" s="14">
        <v>42542</v>
      </c>
      <c r="U13" s="15">
        <v>0.70833333333333337</v>
      </c>
      <c r="V13" s="25" t="s">
        <v>55</v>
      </c>
      <c r="W13" s="5">
        <v>0</v>
      </c>
      <c r="Y13" s="5">
        <v>1</v>
      </c>
      <c r="Z13" s="24" t="s">
        <v>54</v>
      </c>
    </row>
    <row r="14" spans="1:26" ht="9.9499999999999993" customHeight="1" x14ac:dyDescent="0.25">
      <c r="B14" s="10"/>
      <c r="C14" s="11"/>
      <c r="D14" s="20"/>
      <c r="H14" s="20"/>
      <c r="I14" s="16"/>
      <c r="J14" s="18"/>
      <c r="M14" s="20"/>
      <c r="O14" s="12"/>
      <c r="Q14" s="20"/>
    </row>
    <row r="15" spans="1:26" ht="12" customHeight="1" x14ac:dyDescent="0.25">
      <c r="C15" s="10"/>
      <c r="D15" s="11"/>
      <c r="E15" s="28"/>
      <c r="F15" s="20"/>
      <c r="H15" s="29"/>
      <c r="J15" s="20"/>
      <c r="K15" s="11"/>
      <c r="L15" s="11"/>
      <c r="M15" s="11"/>
      <c r="N15" s="11"/>
      <c r="O15" s="11"/>
      <c r="P15" s="11"/>
      <c r="Q15" s="11"/>
      <c r="T15" s="11"/>
      <c r="U15" s="11"/>
      <c r="V15" s="11"/>
      <c r="W15" s="11"/>
      <c r="X15" s="11"/>
      <c r="Y15" s="11"/>
      <c r="Z15" s="11"/>
    </row>
    <row r="16" spans="1:26" ht="12" customHeight="1" x14ac:dyDescent="0.25">
      <c r="B16" s="30"/>
      <c r="C16" s="11"/>
      <c r="D16" s="20"/>
      <c r="E16" s="20"/>
      <c r="G16" s="20"/>
      <c r="H16" s="20"/>
      <c r="I16" s="16"/>
      <c r="J16" s="20"/>
      <c r="K16" s="30"/>
      <c r="L16" s="20"/>
      <c r="M16" s="20"/>
      <c r="N16" s="20"/>
      <c r="O16" s="20"/>
      <c r="P16" s="20"/>
      <c r="Q16" s="20"/>
      <c r="T16" s="30"/>
      <c r="U16" s="20"/>
      <c r="V16" s="20"/>
      <c r="W16" s="20"/>
      <c r="X16" s="20"/>
      <c r="Y16" s="20"/>
      <c r="Z16" s="20"/>
    </row>
    <row r="17" spans="1:26" ht="12" customHeight="1" x14ac:dyDescent="0.25">
      <c r="B17" s="30"/>
      <c r="C17" s="11"/>
      <c r="D17" s="20"/>
      <c r="E17" s="20"/>
      <c r="G17" s="20"/>
      <c r="H17" s="20"/>
      <c r="I17" s="16"/>
      <c r="J17" s="20"/>
      <c r="K17" s="30"/>
      <c r="L17" s="20"/>
      <c r="M17" s="20"/>
      <c r="N17" s="20"/>
      <c r="O17" s="20"/>
      <c r="P17" s="20"/>
      <c r="Q17" s="20"/>
      <c r="T17" s="30"/>
      <c r="U17" s="20"/>
      <c r="V17" s="20"/>
      <c r="W17" s="20"/>
      <c r="X17" s="20"/>
      <c r="Y17" s="20"/>
      <c r="Z17" s="20"/>
    </row>
    <row r="18" spans="1:26" ht="12" customHeight="1" x14ac:dyDescent="0.25">
      <c r="B18" s="30"/>
      <c r="C18" s="11"/>
      <c r="D18" s="20"/>
      <c r="E18" s="20"/>
      <c r="F18" s="20"/>
      <c r="G18" s="20"/>
      <c r="H18" s="20"/>
      <c r="I18" s="16"/>
      <c r="J18" s="20"/>
      <c r="K18" s="30"/>
      <c r="L18" s="20"/>
      <c r="M18" s="20"/>
      <c r="N18" s="20"/>
      <c r="O18" s="20"/>
      <c r="P18" s="20"/>
      <c r="Q18" s="20"/>
      <c r="T18" s="30"/>
      <c r="U18" s="20"/>
      <c r="V18" s="20"/>
      <c r="W18" s="20"/>
      <c r="X18" s="20"/>
      <c r="Y18" s="20"/>
      <c r="Z18" s="20"/>
    </row>
    <row r="19" spans="1:26" ht="12" customHeight="1" x14ac:dyDescent="0.25">
      <c r="B19" s="30"/>
      <c r="C19" s="11"/>
      <c r="D19" s="20"/>
      <c r="H19" s="20"/>
      <c r="I19" s="16"/>
      <c r="J19" s="20"/>
      <c r="K19" s="30"/>
      <c r="L19" s="20"/>
      <c r="M19" s="20"/>
      <c r="N19" s="20"/>
      <c r="O19" s="20"/>
      <c r="P19" s="20"/>
      <c r="Q19" s="20"/>
      <c r="T19" s="30"/>
      <c r="U19" s="20"/>
      <c r="V19" s="20"/>
      <c r="W19" s="20"/>
      <c r="X19" s="20"/>
      <c r="Y19" s="20"/>
      <c r="Z19" s="20"/>
    </row>
    <row r="20" spans="1:26" ht="12" customHeight="1" x14ac:dyDescent="0.25">
      <c r="B20" s="10"/>
      <c r="C20" s="11"/>
      <c r="D20" s="20"/>
      <c r="H20" s="20"/>
      <c r="I20" s="16"/>
      <c r="J20" s="18"/>
      <c r="M20" s="20"/>
      <c r="O20" s="12"/>
      <c r="Q20" s="20"/>
    </row>
    <row r="21" spans="1:26" ht="12" customHeight="1" x14ac:dyDescent="0.2">
      <c r="A21" s="40" t="s">
        <v>18</v>
      </c>
      <c r="B21" s="41"/>
      <c r="C21" s="41"/>
      <c r="D21" s="41"/>
      <c r="E21" s="41"/>
      <c r="F21" s="41"/>
      <c r="G21" s="41"/>
      <c r="H21" s="42"/>
      <c r="I21" s="16"/>
      <c r="J21" s="40" t="s">
        <v>20</v>
      </c>
      <c r="K21" s="41"/>
      <c r="L21" s="41"/>
      <c r="M21" s="41"/>
      <c r="N21" s="41"/>
      <c r="O21" s="41"/>
      <c r="P21" s="41"/>
      <c r="Q21" s="42"/>
      <c r="S21" s="40" t="s">
        <v>21</v>
      </c>
      <c r="T21" s="41"/>
      <c r="U21" s="41"/>
      <c r="V21" s="41"/>
      <c r="W21" s="41"/>
      <c r="X21" s="41"/>
      <c r="Y21" s="41"/>
      <c r="Z21" s="42"/>
    </row>
    <row r="22" spans="1:26" ht="12" customHeight="1" thickBot="1" x14ac:dyDescent="0.25">
      <c r="A22" s="8" t="s">
        <v>44</v>
      </c>
      <c r="B22" s="8" t="s">
        <v>2</v>
      </c>
      <c r="C22" s="8" t="s">
        <v>11</v>
      </c>
      <c r="D22" s="21" t="s">
        <v>81</v>
      </c>
      <c r="E22" s="22" t="s">
        <v>83</v>
      </c>
      <c r="F22" s="9" t="s">
        <v>12</v>
      </c>
      <c r="G22" s="22" t="s">
        <v>84</v>
      </c>
      <c r="H22" s="21" t="s">
        <v>82</v>
      </c>
      <c r="I22" s="16"/>
      <c r="J22" s="8" t="s">
        <v>44</v>
      </c>
      <c r="K22" s="8" t="s">
        <v>2</v>
      </c>
      <c r="L22" s="8" t="s">
        <v>11</v>
      </c>
      <c r="M22" s="21" t="s">
        <v>81</v>
      </c>
      <c r="N22" s="22" t="s">
        <v>83</v>
      </c>
      <c r="O22" s="9" t="s">
        <v>12</v>
      </c>
      <c r="P22" s="22" t="s">
        <v>84</v>
      </c>
      <c r="Q22" s="21" t="s">
        <v>82</v>
      </c>
      <c r="S22" s="8" t="s">
        <v>44</v>
      </c>
      <c r="T22" s="8" t="s">
        <v>2</v>
      </c>
      <c r="U22" s="8" t="s">
        <v>11</v>
      </c>
      <c r="V22" s="21" t="s">
        <v>81</v>
      </c>
      <c r="W22" s="22" t="s">
        <v>83</v>
      </c>
      <c r="X22" s="9" t="s">
        <v>12</v>
      </c>
      <c r="Y22" s="22" t="s">
        <v>84</v>
      </c>
      <c r="Z22" s="21" t="s">
        <v>82</v>
      </c>
    </row>
    <row r="23" spans="1:26" ht="12" customHeight="1" thickBot="1" x14ac:dyDescent="0.25">
      <c r="A23" s="9">
        <v>5</v>
      </c>
      <c r="B23" s="10">
        <v>42533</v>
      </c>
      <c r="C23" s="11">
        <v>0.58333333333333337</v>
      </c>
      <c r="D23" s="23" t="s">
        <v>58</v>
      </c>
      <c r="E23" s="5">
        <v>0</v>
      </c>
      <c r="G23" s="5">
        <v>1</v>
      </c>
      <c r="H23" s="24" t="s">
        <v>56</v>
      </c>
      <c r="I23" s="16"/>
      <c r="J23" s="18">
        <v>9</v>
      </c>
      <c r="K23" s="10">
        <v>42534</v>
      </c>
      <c r="L23" s="11">
        <v>0.70833333333333337</v>
      </c>
      <c r="M23" s="25" t="s">
        <v>61</v>
      </c>
      <c r="N23" s="5">
        <v>1</v>
      </c>
      <c r="P23" s="5">
        <v>1</v>
      </c>
      <c r="Q23" s="24" t="s">
        <v>60</v>
      </c>
      <c r="S23" s="9">
        <v>11</v>
      </c>
      <c r="T23" s="14">
        <v>42535</v>
      </c>
      <c r="U23" s="15">
        <v>0.70833333333333337</v>
      </c>
      <c r="V23" s="25" t="s">
        <v>62</v>
      </c>
      <c r="W23" s="5">
        <v>0</v>
      </c>
      <c r="Y23" s="5">
        <v>2</v>
      </c>
      <c r="Z23" s="24" t="s">
        <v>63</v>
      </c>
    </row>
    <row r="24" spans="1:26" ht="12" customHeight="1" thickBot="1" x14ac:dyDescent="0.25">
      <c r="A24" s="9">
        <v>8</v>
      </c>
      <c r="B24" s="10">
        <v>42534</v>
      </c>
      <c r="C24" s="11">
        <v>0.58333333333333337</v>
      </c>
      <c r="D24" s="23" t="s">
        <v>25</v>
      </c>
      <c r="E24" s="5">
        <v>1</v>
      </c>
      <c r="G24" s="5">
        <v>0</v>
      </c>
      <c r="H24" s="24" t="s">
        <v>57</v>
      </c>
      <c r="I24" s="16"/>
      <c r="J24" s="18">
        <v>10</v>
      </c>
      <c r="K24" s="10">
        <v>42534</v>
      </c>
      <c r="L24" s="11">
        <v>0.83333333333333337</v>
      </c>
      <c r="M24" s="25" t="s">
        <v>59</v>
      </c>
      <c r="N24" s="5">
        <v>0</v>
      </c>
      <c r="O24" s="12"/>
      <c r="P24" s="5">
        <v>2</v>
      </c>
      <c r="Q24" s="24" t="s">
        <v>22</v>
      </c>
      <c r="S24" s="9">
        <v>12</v>
      </c>
      <c r="T24" s="14">
        <v>42535</v>
      </c>
      <c r="U24" s="15">
        <v>0.83333333333333337</v>
      </c>
      <c r="V24" s="25" t="s">
        <v>24</v>
      </c>
      <c r="W24" s="5">
        <v>1</v>
      </c>
      <c r="Y24" s="5">
        <v>1</v>
      </c>
      <c r="Z24" s="24" t="s">
        <v>64</v>
      </c>
    </row>
    <row r="25" spans="1:26" ht="12" customHeight="1" thickBot="1" x14ac:dyDescent="0.25">
      <c r="A25" s="9">
        <v>20</v>
      </c>
      <c r="B25" s="10">
        <v>42538</v>
      </c>
      <c r="C25" s="11">
        <v>0.70833333333333337</v>
      </c>
      <c r="D25" s="23" t="s">
        <v>57</v>
      </c>
      <c r="E25" s="5">
        <v>2</v>
      </c>
      <c r="G25" s="5">
        <v>2</v>
      </c>
      <c r="H25" s="24" t="s">
        <v>56</v>
      </c>
      <c r="I25" s="16"/>
      <c r="J25" s="18">
        <v>19</v>
      </c>
      <c r="K25" s="10">
        <v>42538</v>
      </c>
      <c r="L25" s="11">
        <v>0.58333333333333337</v>
      </c>
      <c r="M25" s="25" t="s">
        <v>22</v>
      </c>
      <c r="N25" s="5">
        <v>1</v>
      </c>
      <c r="O25" s="12"/>
      <c r="P25" s="5">
        <v>0</v>
      </c>
      <c r="Q25" s="24" t="s">
        <v>60</v>
      </c>
      <c r="S25" s="9">
        <v>23</v>
      </c>
      <c r="T25" s="14">
        <v>42539</v>
      </c>
      <c r="U25" s="15">
        <v>0.70833333333333337</v>
      </c>
      <c r="V25" s="25" t="s">
        <v>64</v>
      </c>
      <c r="W25" s="5">
        <v>1</v>
      </c>
      <c r="Y25" s="5">
        <v>1</v>
      </c>
      <c r="Z25" s="24" t="s">
        <v>63</v>
      </c>
    </row>
    <row r="26" spans="1:26" ht="12" customHeight="1" thickBot="1" x14ac:dyDescent="0.25">
      <c r="A26" s="9">
        <v>21</v>
      </c>
      <c r="B26" s="10">
        <v>42538</v>
      </c>
      <c r="C26" s="11">
        <v>0.83333333333333337</v>
      </c>
      <c r="D26" s="23" t="s">
        <v>25</v>
      </c>
      <c r="E26" s="5">
        <v>3</v>
      </c>
      <c r="G26" s="5">
        <v>0</v>
      </c>
      <c r="H26" s="24" t="s">
        <v>58</v>
      </c>
      <c r="I26" s="16"/>
      <c r="J26" s="18">
        <v>22</v>
      </c>
      <c r="K26" s="10">
        <v>42539</v>
      </c>
      <c r="L26" s="11">
        <v>0.58333333333333337</v>
      </c>
      <c r="M26" s="31" t="s">
        <v>59</v>
      </c>
      <c r="N26" s="5">
        <v>3</v>
      </c>
      <c r="P26" s="5">
        <v>0</v>
      </c>
      <c r="Q26" s="24" t="s">
        <v>61</v>
      </c>
      <c r="S26" s="9">
        <v>24</v>
      </c>
      <c r="T26" s="14">
        <v>42539</v>
      </c>
      <c r="U26" s="15">
        <v>0.83333333333333337</v>
      </c>
      <c r="V26" s="25" t="s">
        <v>24</v>
      </c>
      <c r="W26" s="5">
        <v>0</v>
      </c>
      <c r="Y26" s="5">
        <v>0</v>
      </c>
      <c r="Z26" s="24" t="s">
        <v>62</v>
      </c>
    </row>
    <row r="27" spans="1:26" ht="12" customHeight="1" thickBot="1" x14ac:dyDescent="0.25">
      <c r="A27" s="9">
        <v>31</v>
      </c>
      <c r="B27" s="10">
        <v>42542</v>
      </c>
      <c r="C27" s="11">
        <v>0.83333333333333337</v>
      </c>
      <c r="D27" s="28" t="s">
        <v>56</v>
      </c>
      <c r="E27" s="5">
        <v>2</v>
      </c>
      <c r="F27" s="7"/>
      <c r="G27" s="5">
        <v>1</v>
      </c>
      <c r="H27" s="24" t="s">
        <v>25</v>
      </c>
      <c r="I27" s="16"/>
      <c r="J27" s="18">
        <v>35</v>
      </c>
      <c r="K27" s="10">
        <v>42543</v>
      </c>
      <c r="L27" s="11">
        <v>0.83333333333333337</v>
      </c>
      <c r="M27" s="31" t="s">
        <v>22</v>
      </c>
      <c r="N27" s="5">
        <v>0</v>
      </c>
      <c r="O27" s="32"/>
      <c r="P27" s="5">
        <v>1</v>
      </c>
      <c r="Q27" s="24" t="s">
        <v>61</v>
      </c>
      <c r="S27" s="9">
        <v>33</v>
      </c>
      <c r="T27" s="14">
        <v>42543</v>
      </c>
      <c r="U27" s="15">
        <v>0.70833333333333337</v>
      </c>
      <c r="V27" s="25" t="s">
        <v>63</v>
      </c>
      <c r="W27" s="5">
        <v>3</v>
      </c>
      <c r="Y27" s="5">
        <v>3</v>
      </c>
      <c r="Z27" s="24" t="s">
        <v>24</v>
      </c>
    </row>
    <row r="28" spans="1:26" ht="12" customHeight="1" thickBot="1" x14ac:dyDescent="0.3">
      <c r="A28" s="9">
        <v>32</v>
      </c>
      <c r="B28" s="10">
        <v>42542</v>
      </c>
      <c r="C28" s="11">
        <v>0.83333333333333337</v>
      </c>
      <c r="D28" s="28" t="s">
        <v>57</v>
      </c>
      <c r="E28" s="5">
        <v>0</v>
      </c>
      <c r="G28" s="5">
        <v>2</v>
      </c>
      <c r="H28" s="24" t="s">
        <v>58</v>
      </c>
      <c r="I28" s="16"/>
      <c r="J28" s="18">
        <v>36</v>
      </c>
      <c r="K28" s="10">
        <v>42543</v>
      </c>
      <c r="L28" s="11">
        <v>0.83333333333333337</v>
      </c>
      <c r="M28" s="31" t="s">
        <v>60</v>
      </c>
      <c r="N28" s="5">
        <v>0</v>
      </c>
      <c r="O28" s="20"/>
      <c r="P28" s="5">
        <v>1</v>
      </c>
      <c r="Q28" s="24" t="s">
        <v>59</v>
      </c>
      <c r="S28" s="9">
        <v>34</v>
      </c>
      <c r="T28" s="14">
        <v>42543</v>
      </c>
      <c r="U28" s="15">
        <v>0.70833333333333337</v>
      </c>
      <c r="V28" s="25" t="s">
        <v>64</v>
      </c>
      <c r="W28" s="5">
        <v>2</v>
      </c>
      <c r="Y28" s="5">
        <v>1</v>
      </c>
      <c r="Z28" s="24" t="s">
        <v>62</v>
      </c>
    </row>
    <row r="29" spans="1:26" ht="9.9499999999999993" customHeight="1" x14ac:dyDescent="0.25">
      <c r="B29" s="10"/>
      <c r="C29" s="11"/>
      <c r="D29" s="20"/>
      <c r="E29" s="33"/>
      <c r="F29" s="20"/>
      <c r="G29" s="20"/>
      <c r="I29" s="16"/>
      <c r="J29" s="20"/>
      <c r="K29" s="20"/>
      <c r="L29" s="20"/>
      <c r="M29" s="20"/>
      <c r="N29" s="20"/>
      <c r="O29" s="20"/>
      <c r="P29" s="20"/>
      <c r="Q29" s="20"/>
    </row>
    <row r="30" spans="1:26" ht="12" customHeight="1" x14ac:dyDescent="0.2">
      <c r="B30" s="11"/>
      <c r="C30" s="11"/>
      <c r="D30" s="11"/>
      <c r="E30" s="11"/>
      <c r="F30" s="11"/>
      <c r="G30" s="11"/>
      <c r="H30" s="11"/>
      <c r="I30" s="16"/>
      <c r="J30" s="18"/>
      <c r="K30" s="11"/>
      <c r="L30" s="11"/>
      <c r="M30" s="11"/>
      <c r="N30" s="11"/>
      <c r="O30" s="11"/>
      <c r="P30" s="11"/>
      <c r="Q30" s="11"/>
      <c r="T30" s="11"/>
      <c r="U30" s="11"/>
      <c r="V30" s="11"/>
      <c r="W30" s="11"/>
      <c r="X30" s="11"/>
      <c r="Y30" s="11"/>
      <c r="Z30" s="11"/>
    </row>
    <row r="31" spans="1:26" ht="12" customHeight="1" x14ac:dyDescent="0.25">
      <c r="A31" s="20"/>
      <c r="B31" s="30"/>
      <c r="C31" s="20"/>
      <c r="D31" s="20"/>
      <c r="E31" s="20"/>
      <c r="F31" s="20"/>
      <c r="G31" s="20"/>
      <c r="H31" s="20"/>
      <c r="I31" s="16"/>
      <c r="J31" s="20"/>
      <c r="K31" s="30"/>
      <c r="L31" s="20"/>
      <c r="M31" s="20"/>
      <c r="N31" s="20"/>
      <c r="O31" s="20"/>
      <c r="P31" s="20"/>
      <c r="Q31" s="20"/>
      <c r="T31" s="30"/>
      <c r="U31" s="20"/>
      <c r="V31" s="20"/>
      <c r="W31" s="20"/>
      <c r="X31" s="20"/>
      <c r="Y31" s="20"/>
      <c r="Z31" s="20"/>
    </row>
    <row r="32" spans="1:26" ht="12" customHeight="1" x14ac:dyDescent="0.25">
      <c r="A32" s="20"/>
      <c r="B32" s="30"/>
      <c r="C32" s="20"/>
      <c r="D32" s="20"/>
      <c r="E32" s="20"/>
      <c r="F32" s="20"/>
      <c r="G32" s="20"/>
      <c r="H32" s="20"/>
      <c r="I32" s="16"/>
      <c r="J32" s="20"/>
      <c r="K32" s="30"/>
      <c r="L32" s="20"/>
      <c r="M32" s="20"/>
      <c r="N32" s="20"/>
      <c r="O32" s="20"/>
      <c r="P32" s="20"/>
      <c r="Q32" s="20"/>
      <c r="T32" s="30"/>
      <c r="U32" s="20"/>
      <c r="V32" s="20"/>
      <c r="W32" s="20"/>
      <c r="X32" s="20"/>
      <c r="Y32" s="20"/>
      <c r="Z32" s="20"/>
    </row>
    <row r="33" spans="1:26" ht="12" customHeight="1" x14ac:dyDescent="0.25">
      <c r="A33" s="20"/>
      <c r="B33" s="30"/>
      <c r="C33" s="20"/>
      <c r="D33" s="20"/>
      <c r="E33" s="20"/>
      <c r="F33" s="20"/>
      <c r="G33" s="20"/>
      <c r="H33" s="20"/>
      <c r="I33" s="16"/>
      <c r="J33" s="20"/>
      <c r="K33" s="30"/>
      <c r="L33" s="20"/>
      <c r="M33" s="20"/>
      <c r="N33" s="20"/>
      <c r="O33" s="20"/>
      <c r="P33" s="20"/>
      <c r="Q33" s="20"/>
      <c r="T33" s="30"/>
      <c r="U33" s="20"/>
      <c r="V33" s="20"/>
      <c r="W33" s="20"/>
      <c r="X33" s="20"/>
      <c r="Y33" s="20"/>
      <c r="Z33" s="20"/>
    </row>
    <row r="34" spans="1:26" ht="12" customHeight="1" x14ac:dyDescent="0.25">
      <c r="A34" s="20"/>
      <c r="B34" s="30"/>
      <c r="C34" s="20"/>
      <c r="D34" s="20"/>
      <c r="E34" s="20"/>
      <c r="F34" s="20"/>
      <c r="G34" s="20"/>
      <c r="H34" s="20"/>
      <c r="I34" s="16"/>
      <c r="J34" s="20"/>
      <c r="K34" s="30"/>
      <c r="L34" s="20"/>
      <c r="M34" s="20"/>
      <c r="N34" s="20"/>
      <c r="O34" s="20"/>
      <c r="P34" s="20"/>
      <c r="Q34" s="20"/>
      <c r="T34" s="30"/>
      <c r="U34" s="20"/>
      <c r="V34" s="20"/>
      <c r="W34" s="20"/>
      <c r="X34" s="20"/>
      <c r="Y34" s="20"/>
      <c r="Z34" s="20"/>
    </row>
    <row r="35" spans="1:26" ht="12" customHeight="1" x14ac:dyDescent="0.25">
      <c r="A35" s="20"/>
      <c r="B35" s="20"/>
      <c r="C35" s="20"/>
      <c r="D35" s="20"/>
      <c r="E35" s="20"/>
      <c r="F35" s="20"/>
      <c r="G35" s="20"/>
      <c r="H35" s="20"/>
      <c r="I35" s="16"/>
      <c r="J35" s="20"/>
      <c r="K35" s="20"/>
      <c r="L35" s="20"/>
      <c r="M35" s="20"/>
      <c r="N35" s="20"/>
      <c r="O35" s="20"/>
      <c r="P35" s="20"/>
      <c r="Q35" s="20"/>
    </row>
    <row r="36" spans="1:26" ht="12" customHeight="1" x14ac:dyDescent="0.25">
      <c r="A36" s="20"/>
      <c r="B36" s="20"/>
      <c r="C36" s="20"/>
      <c r="D36" s="20"/>
      <c r="E36" s="20"/>
      <c r="F36" s="20"/>
      <c r="G36" s="20"/>
      <c r="H36" s="20"/>
      <c r="I36" s="16"/>
      <c r="J36" s="20"/>
      <c r="K36" s="20"/>
      <c r="L36" s="20"/>
      <c r="M36" s="20"/>
      <c r="N36" s="20"/>
      <c r="O36" s="20"/>
      <c r="P36" s="20"/>
      <c r="Q36" s="20"/>
    </row>
    <row r="37" spans="1:26" ht="12" customHeight="1" x14ac:dyDescent="0.25">
      <c r="A37" s="20"/>
      <c r="B37" s="20"/>
      <c r="C37" s="20"/>
      <c r="D37" s="20"/>
      <c r="E37" s="20"/>
      <c r="F37" s="20"/>
      <c r="G37" s="20"/>
      <c r="H37" s="20"/>
      <c r="I37" s="16"/>
      <c r="J37" s="18"/>
      <c r="N37" s="20"/>
      <c r="O37" s="20"/>
      <c r="P37" s="20"/>
    </row>
    <row r="38" spans="1:26" ht="12" customHeight="1" x14ac:dyDescent="0.25">
      <c r="A38" s="20"/>
      <c r="B38" s="20"/>
      <c r="C38" s="20"/>
      <c r="D38" s="20"/>
      <c r="E38" s="20"/>
      <c r="F38" s="20"/>
      <c r="G38" s="20"/>
      <c r="H38" s="20"/>
      <c r="I38" s="20"/>
      <c r="J38" s="33"/>
      <c r="K38" s="33"/>
      <c r="L38" s="33"/>
      <c r="M38" s="20"/>
      <c r="N38" s="20"/>
      <c r="O38" s="20"/>
      <c r="P38" s="20"/>
      <c r="Q38" s="20"/>
    </row>
    <row r="39" spans="1:26" ht="12" customHeight="1" x14ac:dyDescent="0.25">
      <c r="A39" s="33"/>
      <c r="B39" s="33"/>
      <c r="C39" s="33"/>
      <c r="D39" s="20"/>
      <c r="E39" s="20"/>
      <c r="F39" s="20"/>
      <c r="G39" s="20"/>
      <c r="H39" s="20"/>
      <c r="I39" s="20"/>
      <c r="J39" s="33"/>
      <c r="K39" s="33"/>
      <c r="L39" s="33"/>
      <c r="M39" s="20"/>
      <c r="N39" s="20"/>
      <c r="O39" s="20"/>
      <c r="P39" s="20"/>
      <c r="Q39" s="20"/>
    </row>
    <row r="40" spans="1:26" ht="12" customHeight="1" x14ac:dyDescent="0.25">
      <c r="A40" s="33"/>
      <c r="B40" s="33"/>
      <c r="C40" s="33"/>
      <c r="D40" s="20"/>
      <c r="E40" s="20"/>
      <c r="F40" s="20"/>
      <c r="G40" s="20"/>
      <c r="H40" s="20"/>
      <c r="I40" s="20"/>
      <c r="J40" s="33"/>
      <c r="K40" s="33"/>
      <c r="L40" s="33"/>
      <c r="M40" s="20"/>
      <c r="N40" s="20"/>
      <c r="O40" s="20"/>
      <c r="P40" s="20"/>
      <c r="Q40" s="20"/>
    </row>
    <row r="41" spans="1:26" ht="12" customHeight="1" x14ac:dyDescent="0.25">
      <c r="A41" s="33"/>
      <c r="B41" s="33"/>
      <c r="C41" s="33"/>
      <c r="D41" s="20"/>
      <c r="E41" s="20"/>
      <c r="F41" s="20"/>
      <c r="G41" s="20"/>
      <c r="H41" s="20"/>
      <c r="I41" s="20"/>
      <c r="J41" s="33"/>
      <c r="K41" s="33"/>
      <c r="L41" s="33"/>
      <c r="M41" s="20"/>
      <c r="N41" s="20"/>
      <c r="O41" s="20"/>
      <c r="P41" s="20"/>
      <c r="Q41" s="20"/>
    </row>
    <row r="42" spans="1:26" ht="12" customHeight="1" x14ac:dyDescent="0.25">
      <c r="A42" s="33"/>
      <c r="B42" s="33"/>
      <c r="C42" s="33"/>
      <c r="D42" s="20"/>
      <c r="E42" s="20"/>
      <c r="F42" s="20"/>
      <c r="G42" s="20"/>
      <c r="H42" s="20"/>
      <c r="I42" s="20"/>
      <c r="J42" s="33"/>
      <c r="K42" s="33"/>
      <c r="L42" s="33"/>
      <c r="M42" s="20"/>
      <c r="N42" s="20"/>
      <c r="O42" s="20"/>
      <c r="P42" s="20"/>
      <c r="Q42" s="20"/>
    </row>
    <row r="43" spans="1:26" ht="12" customHeight="1" x14ac:dyDescent="0.25">
      <c r="A43" s="33"/>
      <c r="B43" s="33"/>
      <c r="C43" s="33"/>
      <c r="D43" s="20"/>
      <c r="E43" s="20"/>
      <c r="F43" s="20"/>
      <c r="G43" s="20"/>
      <c r="H43" s="20"/>
      <c r="I43" s="20"/>
      <c r="J43" s="33"/>
      <c r="K43" s="33"/>
      <c r="L43" s="33"/>
      <c r="M43" s="20"/>
      <c r="N43" s="20"/>
      <c r="O43" s="20"/>
      <c r="P43" s="20"/>
      <c r="Q43" s="20"/>
    </row>
    <row r="44" spans="1:26" ht="12" customHeight="1" x14ac:dyDescent="0.25">
      <c r="A44" s="33"/>
      <c r="B44" s="33"/>
      <c r="C44" s="33"/>
      <c r="D44" s="20"/>
      <c r="E44" s="20"/>
      <c r="F44" s="20"/>
      <c r="G44" s="20"/>
      <c r="H44" s="20"/>
      <c r="I44" s="20"/>
      <c r="J44" s="33"/>
      <c r="K44" s="33"/>
      <c r="L44" s="33"/>
      <c r="M44" s="20"/>
      <c r="N44" s="20"/>
      <c r="O44" s="20"/>
      <c r="P44" s="20"/>
      <c r="Q44" s="20"/>
    </row>
    <row r="45" spans="1:26" ht="12" customHeight="1" x14ac:dyDescent="0.25">
      <c r="A45" s="33"/>
      <c r="B45" s="33"/>
      <c r="C45" s="33"/>
      <c r="D45" s="20"/>
      <c r="E45" s="20"/>
      <c r="F45" s="20"/>
      <c r="G45" s="20"/>
      <c r="H45" s="20"/>
      <c r="I45" s="20"/>
      <c r="J45" s="33"/>
      <c r="K45" s="33"/>
      <c r="L45" s="33"/>
      <c r="M45" s="20"/>
      <c r="N45" s="20"/>
      <c r="O45" s="20"/>
      <c r="P45" s="20"/>
      <c r="Q45" s="20"/>
    </row>
    <row r="46" spans="1:26" ht="12" customHeight="1" x14ac:dyDescent="0.25">
      <c r="A46" s="33"/>
      <c r="B46" s="33"/>
      <c r="C46" s="33"/>
      <c r="D46" s="20"/>
      <c r="E46" s="20"/>
      <c r="F46" s="20"/>
      <c r="G46" s="20"/>
      <c r="H46" s="20"/>
      <c r="I46" s="20"/>
      <c r="J46" s="33"/>
      <c r="K46" s="33"/>
      <c r="L46" s="33"/>
      <c r="M46" s="20"/>
      <c r="N46" s="20"/>
      <c r="O46" s="20"/>
      <c r="P46" s="20"/>
      <c r="Q46" s="20"/>
    </row>
    <row r="47" spans="1:26" ht="12" customHeight="1" x14ac:dyDescent="0.25">
      <c r="A47" s="33"/>
      <c r="B47" s="33"/>
      <c r="C47" s="33"/>
      <c r="D47" s="20"/>
      <c r="E47" s="20"/>
      <c r="F47" s="20"/>
      <c r="G47" s="20"/>
      <c r="H47" s="20"/>
      <c r="I47" s="20"/>
      <c r="J47" s="33"/>
      <c r="K47" s="33"/>
      <c r="L47" s="33"/>
      <c r="M47" s="20"/>
      <c r="N47" s="20"/>
      <c r="O47" s="20"/>
      <c r="P47" s="20"/>
      <c r="Q47" s="20"/>
    </row>
    <row r="48" spans="1:26" ht="12" customHeight="1" x14ac:dyDescent="0.25">
      <c r="A48" s="33"/>
      <c r="B48" s="33"/>
      <c r="C48" s="33"/>
      <c r="D48" s="20"/>
      <c r="E48" s="20"/>
      <c r="F48" s="20"/>
      <c r="G48" s="20"/>
      <c r="H48" s="20"/>
      <c r="I48" s="20"/>
      <c r="J48" s="33"/>
      <c r="K48" s="33"/>
      <c r="L48" s="33"/>
      <c r="M48" s="20"/>
      <c r="N48" s="20"/>
      <c r="O48" s="20"/>
      <c r="P48" s="20"/>
      <c r="Q48" s="20"/>
    </row>
    <row r="49" spans="1:17" ht="12" customHeight="1" x14ac:dyDescent="0.25">
      <c r="A49" s="33"/>
      <c r="B49" s="33"/>
      <c r="C49" s="33"/>
      <c r="D49" s="20"/>
      <c r="E49" s="20"/>
      <c r="F49" s="20"/>
      <c r="G49" s="20"/>
      <c r="H49" s="20"/>
      <c r="I49" s="20"/>
      <c r="J49" s="33"/>
      <c r="K49" s="33"/>
      <c r="L49" s="33"/>
      <c r="M49" s="20"/>
      <c r="N49" s="20"/>
      <c r="O49" s="20"/>
      <c r="P49" s="20"/>
      <c r="Q49" s="20"/>
    </row>
    <row r="50" spans="1:17" ht="12" customHeight="1" x14ac:dyDescent="0.25">
      <c r="A50" s="33"/>
      <c r="B50" s="33"/>
      <c r="C50" s="33"/>
      <c r="D50" s="20"/>
      <c r="E50" s="20"/>
      <c r="F50" s="20"/>
      <c r="G50" s="20"/>
      <c r="H50" s="20"/>
      <c r="I50" s="20"/>
      <c r="J50" s="33"/>
      <c r="K50" s="33"/>
      <c r="L50" s="33"/>
      <c r="M50" s="20"/>
      <c r="N50" s="20"/>
      <c r="O50" s="20"/>
      <c r="P50" s="20"/>
      <c r="Q50" s="20"/>
    </row>
    <row r="51" spans="1:17" ht="12" customHeight="1" x14ac:dyDescent="0.25">
      <c r="A51" s="33"/>
      <c r="B51" s="33"/>
      <c r="C51" s="33"/>
      <c r="D51" s="20"/>
      <c r="E51" s="20"/>
      <c r="F51" s="20"/>
      <c r="G51" s="20"/>
      <c r="H51" s="20"/>
      <c r="I51" s="20"/>
      <c r="J51" s="33"/>
      <c r="K51" s="33"/>
      <c r="L51" s="33"/>
      <c r="M51" s="20"/>
      <c r="N51" s="20"/>
      <c r="O51" s="20"/>
      <c r="P51" s="20"/>
      <c r="Q51" s="20"/>
    </row>
    <row r="52" spans="1:17" ht="12" customHeight="1" x14ac:dyDescent="0.25">
      <c r="A52" s="33"/>
      <c r="B52" s="33"/>
      <c r="C52" s="33"/>
      <c r="D52" s="20"/>
      <c r="E52" s="20"/>
      <c r="F52" s="20"/>
      <c r="G52" s="20"/>
      <c r="H52" s="20"/>
      <c r="I52" s="20"/>
      <c r="J52" s="33"/>
      <c r="K52" s="33"/>
      <c r="L52" s="33"/>
      <c r="M52" s="20"/>
      <c r="N52" s="20"/>
      <c r="O52" s="20"/>
      <c r="P52" s="20"/>
      <c r="Q52" s="20"/>
    </row>
    <row r="53" spans="1:17" ht="12" customHeight="1" x14ac:dyDescent="0.25">
      <c r="A53" s="33"/>
      <c r="B53" s="33"/>
      <c r="C53" s="33"/>
      <c r="D53" s="20"/>
      <c r="E53" s="20"/>
      <c r="F53" s="20"/>
      <c r="G53" s="20"/>
      <c r="H53" s="20"/>
      <c r="I53" s="20"/>
      <c r="J53" s="33"/>
      <c r="K53" s="33"/>
      <c r="L53" s="33"/>
      <c r="M53" s="20"/>
      <c r="N53" s="20"/>
      <c r="O53" s="20"/>
      <c r="P53" s="20"/>
      <c r="Q53" s="20"/>
    </row>
    <row r="54" spans="1:17" ht="12" customHeight="1" x14ac:dyDescent="0.25">
      <c r="A54" s="33"/>
      <c r="B54" s="33"/>
      <c r="C54" s="33"/>
      <c r="D54" s="20"/>
      <c r="E54" s="20"/>
      <c r="F54" s="20"/>
      <c r="G54" s="20"/>
      <c r="H54" s="20"/>
      <c r="I54" s="20"/>
      <c r="J54" s="33"/>
      <c r="K54" s="33"/>
      <c r="L54" s="33"/>
      <c r="M54" s="20"/>
      <c r="N54" s="20"/>
      <c r="O54" s="20"/>
      <c r="P54" s="20"/>
      <c r="Q54" s="20"/>
    </row>
    <row r="55" spans="1:17" ht="12" customHeight="1" x14ac:dyDescent="0.25">
      <c r="A55" s="33"/>
      <c r="B55" s="33"/>
      <c r="C55" s="33"/>
      <c r="D55" s="20"/>
      <c r="E55" s="20"/>
      <c r="F55" s="20"/>
      <c r="G55" s="20"/>
      <c r="H55" s="20"/>
      <c r="I55" s="20"/>
      <c r="J55" s="33"/>
      <c r="K55" s="33"/>
      <c r="L55" s="33"/>
      <c r="M55" s="20"/>
      <c r="N55" s="20"/>
      <c r="O55" s="20"/>
      <c r="P55" s="20"/>
      <c r="Q55" s="20"/>
    </row>
    <row r="56" spans="1:17" ht="12" customHeight="1" x14ac:dyDescent="0.25">
      <c r="F56" s="7"/>
      <c r="I56" s="16"/>
      <c r="M56" s="20"/>
      <c r="N56" s="20"/>
      <c r="O56" s="20"/>
      <c r="P56" s="20"/>
      <c r="Q56" s="20"/>
    </row>
    <row r="57" spans="1:17" ht="12" customHeight="1" x14ac:dyDescent="0.25">
      <c r="F57" s="7"/>
      <c r="J57" s="34"/>
      <c r="M57" s="20"/>
      <c r="N57" s="20"/>
      <c r="O57" s="20"/>
      <c r="P57" s="20"/>
      <c r="Q57" s="20"/>
    </row>
    <row r="58" spans="1:17" ht="12" customHeight="1" x14ac:dyDescent="0.25">
      <c r="F58" s="7"/>
      <c r="J58" s="34"/>
      <c r="M58" s="20"/>
      <c r="N58" s="20"/>
      <c r="O58" s="20"/>
      <c r="P58" s="20"/>
      <c r="Q58" s="20"/>
    </row>
    <row r="59" spans="1:17" ht="12" customHeight="1" x14ac:dyDescent="0.25">
      <c r="F59" s="7"/>
      <c r="J59" s="34"/>
      <c r="M59" s="20"/>
      <c r="N59" s="20"/>
      <c r="O59" s="20"/>
      <c r="P59" s="20"/>
      <c r="Q59" s="20"/>
    </row>
    <row r="60" spans="1:17" ht="12" customHeight="1" x14ac:dyDescent="0.25">
      <c r="F60" s="7"/>
      <c r="J60" s="34"/>
      <c r="M60" s="20"/>
      <c r="N60" s="20"/>
      <c r="O60" s="20"/>
      <c r="P60" s="20"/>
      <c r="Q60" s="20"/>
    </row>
    <row r="61" spans="1:17" ht="12" customHeight="1" x14ac:dyDescent="0.25">
      <c r="F61" s="7"/>
      <c r="M61" s="20"/>
      <c r="N61" s="20"/>
      <c r="O61" s="20"/>
      <c r="P61" s="20"/>
      <c r="Q61" s="20"/>
    </row>
    <row r="62" spans="1:17" ht="12" customHeight="1" x14ac:dyDescent="0.2">
      <c r="F62" s="7"/>
    </row>
    <row r="63" spans="1:17" ht="12" customHeight="1" x14ac:dyDescent="0.2">
      <c r="F63" s="7"/>
    </row>
    <row r="64" spans="1:17" ht="12" customHeight="1" x14ac:dyDescent="0.2">
      <c r="F64" s="7"/>
    </row>
    <row r="65" spans="6:6" ht="12" customHeight="1" x14ac:dyDescent="0.2">
      <c r="F65" s="7"/>
    </row>
    <row r="66" spans="6:6" ht="12" customHeight="1" x14ac:dyDescent="0.2">
      <c r="F66" s="7"/>
    </row>
  </sheetData>
  <sheetProtection sheet="1" objects="1" scenarios="1"/>
  <mergeCells count="6">
    <mergeCell ref="S21:Z21"/>
    <mergeCell ref="S6:Z6"/>
    <mergeCell ref="A6:H6"/>
    <mergeCell ref="J6:Q6"/>
    <mergeCell ref="A21:H21"/>
    <mergeCell ref="J21:Q21"/>
  </mergeCells>
  <pageMargins left="0.7" right="0.7" top="0.75" bottom="0.75" header="0.3" footer="0.3"/>
  <pageSetup paperSize="9" orientation="portrait" horizontalDpi="200" verticalDpi="200" r:id="rId1"/>
  <drawing r:id="rId2"/>
  <legacyDrawing r:id="rId3"/>
  <tableParts count="6">
    <tablePart r:id="rId4"/>
    <tablePart r:id="rId5"/>
    <tablePart r:id="rId6"/>
    <tablePart r:id="rId7"/>
    <tablePart r:id="rId8"/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6:Q62"/>
  <sheetViews>
    <sheetView showGridLines="0" tabSelected="1" zoomScale="90" zoomScaleNormal="90" workbookViewId="0">
      <pane ySplit="5" topLeftCell="A12" activePane="bottomLeft" state="frozen"/>
      <selection pane="bottomLeft" activeCell="A6" sqref="A6:H6"/>
    </sheetView>
  </sheetViews>
  <sheetFormatPr defaultRowHeight="12" customHeight="1" x14ac:dyDescent="0.2"/>
  <cols>
    <col min="1" max="1" width="6" style="7" customWidth="1"/>
    <col min="2" max="2" width="10.7109375" style="7" bestFit="1" customWidth="1"/>
    <col min="3" max="3" width="10.7109375" style="7" customWidth="1"/>
    <col min="4" max="4" width="16.28515625" style="7" customWidth="1"/>
    <col min="5" max="5" width="3.7109375" style="7" customWidth="1"/>
    <col min="6" max="6" width="2.7109375" style="12" customWidth="1"/>
    <col min="7" max="7" width="3.7109375" style="7" customWidth="1"/>
    <col min="8" max="8" width="16.28515625" style="7" customWidth="1"/>
    <col min="9" max="10" width="6" style="7" customWidth="1"/>
    <col min="11" max="11" width="15.140625" style="7" customWidth="1"/>
    <col min="12" max="12" width="9.140625" style="7"/>
    <col min="13" max="13" width="16.28515625" style="7" customWidth="1"/>
    <col min="14" max="14" width="3.7109375" style="7" customWidth="1"/>
    <col min="15" max="15" width="2.7109375" style="7" customWidth="1"/>
    <col min="16" max="16" width="3.7109375" style="7" customWidth="1"/>
    <col min="17" max="17" width="16.28515625" style="7" customWidth="1"/>
    <col min="18" max="16384" width="9.140625" style="7"/>
  </cols>
  <sheetData>
    <row r="6" spans="1:17" ht="12" customHeight="1" x14ac:dyDescent="0.2">
      <c r="A6" s="43" t="s">
        <v>27</v>
      </c>
      <c r="B6" s="43"/>
      <c r="C6" s="43"/>
      <c r="D6" s="43"/>
      <c r="E6" s="43"/>
      <c r="F6" s="43"/>
      <c r="G6" s="43"/>
      <c r="H6" s="43"/>
      <c r="J6" s="43" t="s">
        <v>28</v>
      </c>
      <c r="K6" s="43"/>
      <c r="L6" s="43"/>
      <c r="M6" s="43"/>
      <c r="N6" s="43"/>
      <c r="O6" s="43"/>
      <c r="P6" s="43"/>
      <c r="Q6" s="43"/>
    </row>
    <row r="7" spans="1:17" ht="12" customHeight="1" thickBot="1" x14ac:dyDescent="0.25">
      <c r="A7" s="8" t="s">
        <v>44</v>
      </c>
      <c r="B7" s="8" t="s">
        <v>2</v>
      </c>
      <c r="C7" s="8" t="s">
        <v>11</v>
      </c>
      <c r="D7" s="8" t="s">
        <v>38</v>
      </c>
      <c r="F7" s="9" t="s">
        <v>12</v>
      </c>
      <c r="H7" s="8" t="s">
        <v>115</v>
      </c>
      <c r="J7" s="8" t="s">
        <v>44</v>
      </c>
      <c r="K7" s="8" t="s">
        <v>2</v>
      </c>
      <c r="L7" s="8" t="s">
        <v>11</v>
      </c>
      <c r="M7" s="8" t="s">
        <v>73</v>
      </c>
      <c r="O7" s="9" t="s">
        <v>12</v>
      </c>
      <c r="Q7" s="8" t="s">
        <v>74</v>
      </c>
    </row>
    <row r="8" spans="1:17" ht="12" customHeight="1" thickBot="1" x14ac:dyDescent="0.25">
      <c r="A8" s="9">
        <v>37</v>
      </c>
      <c r="B8" s="10">
        <v>42546</v>
      </c>
      <c r="C8" s="11">
        <v>0.58333333333333337</v>
      </c>
      <c r="D8" s="7" t="str">
        <f>IF(SUM('League Tables'!$C$3:$E$6)=12,'League Tables'!B4,"")</f>
        <v>Switzerland</v>
      </c>
      <c r="E8" s="3"/>
      <c r="F8" s="7"/>
      <c r="G8" s="3"/>
      <c r="H8" s="7" t="str">
        <f>IF(SUM('League Tables'!$C$17:$E$20)=12,'League Tables'!B18,"")</f>
        <v>Poland</v>
      </c>
      <c r="J8" s="9">
        <v>45</v>
      </c>
      <c r="K8" s="10">
        <v>42551</v>
      </c>
      <c r="L8" s="11">
        <v>0.83333333333333337</v>
      </c>
      <c r="M8" s="7" t="str">
        <f>IF(E8&gt;G8,D8,IF(E8&lt;G8,H8,IF(E8=G8,IF(E9&gt;G9,D8,IF(E9&lt;G9,H8,IF(E9=G9,IF(E10&gt;G10,D8,IF(E10&lt;G10,H8,""))))))))</f>
        <v/>
      </c>
      <c r="N8" s="3"/>
      <c r="O8" s="12"/>
      <c r="P8" s="3"/>
      <c r="Q8" s="13" t="str">
        <f>IF(E18&gt;G18,D18,IF(E18&lt;G18,H18,IF(E18=G18,IF(E19&gt;G19,D18,IF(E19&lt;G19,H18,IF(E19=G19,IF(E20&gt;G20,D18,IF(E20&lt;G20,H18,""))))))))</f>
        <v/>
      </c>
    </row>
    <row r="9" spans="1:17" ht="12" customHeight="1" thickBot="1" x14ac:dyDescent="0.25">
      <c r="B9" s="14"/>
      <c r="C9" s="15"/>
      <c r="D9" s="7" t="s">
        <v>29</v>
      </c>
      <c r="E9" s="3"/>
      <c r="G9" s="3"/>
      <c r="I9" s="16"/>
      <c r="J9" s="17"/>
      <c r="M9" s="7" t="s">
        <v>29</v>
      </c>
      <c r="N9" s="3"/>
      <c r="O9" s="12"/>
      <c r="P9" s="3"/>
    </row>
    <row r="10" spans="1:17" ht="12" customHeight="1" thickBot="1" x14ac:dyDescent="0.25">
      <c r="B10" s="14"/>
      <c r="C10" s="15"/>
      <c r="D10" s="7" t="s">
        <v>43</v>
      </c>
      <c r="E10" s="3"/>
      <c r="G10" s="3"/>
      <c r="I10" s="16"/>
      <c r="J10" s="17"/>
      <c r="M10" s="7" t="s">
        <v>43</v>
      </c>
      <c r="N10" s="3"/>
      <c r="O10" s="12"/>
      <c r="P10" s="3"/>
    </row>
    <row r="11" spans="1:17" ht="12" customHeight="1" x14ac:dyDescent="0.2">
      <c r="B11" s="14"/>
      <c r="C11" s="15"/>
      <c r="I11" s="16"/>
      <c r="J11" s="17"/>
    </row>
    <row r="12" spans="1:17" ht="12" customHeight="1" thickBot="1" x14ac:dyDescent="0.25">
      <c r="B12" s="14"/>
      <c r="C12" s="15"/>
      <c r="D12" s="8" t="s">
        <v>37</v>
      </c>
      <c r="F12" s="9" t="s">
        <v>12</v>
      </c>
      <c r="H12" s="8" t="s">
        <v>66</v>
      </c>
      <c r="I12" s="16"/>
      <c r="J12" s="17"/>
      <c r="M12" s="8" t="s">
        <v>75</v>
      </c>
      <c r="O12" s="9" t="s">
        <v>12</v>
      </c>
      <c r="Q12" s="8" t="s">
        <v>76</v>
      </c>
    </row>
    <row r="13" spans="1:17" ht="12" customHeight="1" thickBot="1" x14ac:dyDescent="0.25">
      <c r="A13" s="9">
        <v>38</v>
      </c>
      <c r="B13" s="10">
        <v>42546</v>
      </c>
      <c r="C13" s="11">
        <v>0.70833333333333337</v>
      </c>
      <c r="D13" s="7" t="str">
        <f>IF(SUM('League Tables'!$C$10:$E$13)=12,'League Tables'!B10,"")</f>
        <v>Wales</v>
      </c>
      <c r="E13" s="3"/>
      <c r="F13" s="7"/>
      <c r="G13" s="3"/>
      <c r="H13" s="7" t="str">
        <f>IF(AND(SUM('League Tables'!$C$3:$E$6)=12,SUM('League Tables'!$C$17:$E$20)=12,SUM('League Tables'!$C$24:$E$27)=12),VLOOKUP('League Tables'!$H$46,permutations[],3,FALSE),"")</f>
        <v>N Ireland</v>
      </c>
      <c r="I13" s="16"/>
      <c r="J13" s="18">
        <v>46</v>
      </c>
      <c r="K13" s="10">
        <v>42552</v>
      </c>
      <c r="L13" s="11">
        <v>0.83333333333333337</v>
      </c>
      <c r="M13" s="7" t="str">
        <f>IF(E13&gt;G13,D13,IF(E13&lt;G13,H13,IF(E13=G13,IF(E14&gt;G14,D13,IF(E14&lt;G14,H13,IF(E14=G14,IF(E15&gt;G15,D13,IF(E15&lt;G15,H13,""))))))))</f>
        <v/>
      </c>
      <c r="N13" s="3"/>
      <c r="O13" s="12"/>
      <c r="P13" s="3"/>
      <c r="Q13" s="13" t="str">
        <f>IF(E33&gt;G33,D33,IF(E33&lt;G33,H33,IF(E33=G33,IF(E34&gt;G34,D33,IF(E34&lt;G34,H33,IF(E34=G34,IF(E35&gt;G35,D33,IF(E35&lt;G35,H33,""))))))))</f>
        <v/>
      </c>
    </row>
    <row r="14" spans="1:17" ht="12" customHeight="1" thickBot="1" x14ac:dyDescent="0.25">
      <c r="B14" s="14"/>
      <c r="C14" s="15"/>
      <c r="D14" s="7" t="s">
        <v>29</v>
      </c>
      <c r="E14" s="3"/>
      <c r="G14" s="3"/>
      <c r="I14" s="16"/>
      <c r="J14" s="17"/>
      <c r="M14" s="7" t="s">
        <v>29</v>
      </c>
      <c r="N14" s="3"/>
      <c r="O14" s="12"/>
      <c r="P14" s="3"/>
    </row>
    <row r="15" spans="1:17" ht="12" customHeight="1" thickBot="1" x14ac:dyDescent="0.25">
      <c r="B15" s="14"/>
      <c r="C15" s="15"/>
      <c r="D15" s="7" t="s">
        <v>43</v>
      </c>
      <c r="E15" s="3"/>
      <c r="G15" s="3"/>
      <c r="I15" s="16"/>
      <c r="J15" s="17"/>
      <c r="M15" s="7" t="s">
        <v>43</v>
      </c>
      <c r="N15" s="3"/>
      <c r="O15" s="12"/>
      <c r="P15" s="3"/>
    </row>
    <row r="16" spans="1:17" ht="12" customHeight="1" x14ac:dyDescent="0.2">
      <c r="B16" s="14"/>
      <c r="C16" s="15"/>
      <c r="I16" s="16"/>
      <c r="J16" s="17"/>
    </row>
    <row r="17" spans="1:17" ht="12" customHeight="1" thickBot="1" x14ac:dyDescent="0.25">
      <c r="B17" s="14"/>
      <c r="C17" s="15"/>
      <c r="D17" s="8" t="s">
        <v>36</v>
      </c>
      <c r="F17" s="9" t="s">
        <v>12</v>
      </c>
      <c r="H17" s="8" t="s">
        <v>65</v>
      </c>
      <c r="I17" s="16"/>
      <c r="J17" s="17"/>
      <c r="M17" s="8" t="s">
        <v>77</v>
      </c>
      <c r="O17" s="9" t="s">
        <v>12</v>
      </c>
      <c r="Q17" s="8" t="s">
        <v>78</v>
      </c>
    </row>
    <row r="18" spans="1:17" ht="12" customHeight="1" thickBot="1" x14ac:dyDescent="0.25">
      <c r="A18" s="9">
        <v>39</v>
      </c>
      <c r="B18" s="10">
        <v>42546</v>
      </c>
      <c r="C18" s="11">
        <v>0.83333333333333337</v>
      </c>
      <c r="D18" s="7" t="str">
        <f>IF(SUM('League Tables'!$C$24:$E$27)=12,'League Tables'!B24,"")</f>
        <v>Croatia</v>
      </c>
      <c r="E18" s="3"/>
      <c r="F18" s="7"/>
      <c r="G18" s="3"/>
      <c r="H18" s="7" t="str">
        <f>IF(AND(SUM('League Tables'!$C$10:$E$13)=12,SUM('League Tables'!$C$31:$E$34)=12,SUM('League Tables'!$C$38:$E$41)=12),VLOOKUP('League Tables'!$H$46,permutations[],5,FALSE),"")</f>
        <v>Portugal</v>
      </c>
      <c r="I18" s="16"/>
      <c r="J18" s="18">
        <v>47</v>
      </c>
      <c r="K18" s="10">
        <v>42553</v>
      </c>
      <c r="L18" s="11">
        <v>0.83333333333333337</v>
      </c>
      <c r="M18" s="7" t="str">
        <f>IF(E28&gt;G28,D28,IF(E28&lt;G28,H28,IF(E28=G28,IF(E29&gt;G29,D28,IF(E29&lt;G29,H28,IF(E29=G29,IF(E30&gt;G30,D28,IF(E30&lt;G30,H28,""))))))))</f>
        <v/>
      </c>
      <c r="N18" s="3"/>
      <c r="O18" s="12"/>
      <c r="P18" s="3"/>
      <c r="Q18" s="13" t="str">
        <f>IF(E38&gt;G38,D38,IF(E38&lt;G38,H38,IF(E38=G38,IF(E39&gt;G39,D38,IF(E39&lt;G39,H38,IF(E39=G39,IF(E40&gt;G40,D38,IF(E40&lt;G40,H38,""))))))))</f>
        <v/>
      </c>
    </row>
    <row r="19" spans="1:17" ht="12" customHeight="1" thickBot="1" x14ac:dyDescent="0.25">
      <c r="B19" s="14"/>
      <c r="C19" s="15"/>
      <c r="D19" s="7" t="s">
        <v>29</v>
      </c>
      <c r="E19" s="3"/>
      <c r="G19" s="3"/>
      <c r="I19" s="16"/>
      <c r="J19" s="17"/>
      <c r="M19" s="7" t="s">
        <v>29</v>
      </c>
      <c r="N19" s="3"/>
      <c r="O19" s="12"/>
      <c r="P19" s="3"/>
    </row>
    <row r="20" spans="1:17" ht="12" customHeight="1" thickBot="1" x14ac:dyDescent="0.25">
      <c r="B20" s="14"/>
      <c r="C20" s="15"/>
      <c r="D20" s="7" t="s">
        <v>43</v>
      </c>
      <c r="E20" s="3"/>
      <c r="G20" s="3"/>
      <c r="I20" s="16"/>
      <c r="J20" s="17"/>
      <c r="M20" s="7" t="s">
        <v>43</v>
      </c>
      <c r="N20" s="3"/>
      <c r="O20" s="12"/>
      <c r="P20" s="3"/>
    </row>
    <row r="21" spans="1:17" ht="12" customHeight="1" x14ac:dyDescent="0.2">
      <c r="B21" s="14"/>
      <c r="C21" s="15"/>
      <c r="I21" s="16"/>
      <c r="J21" s="17"/>
    </row>
    <row r="22" spans="1:17" ht="12" customHeight="1" thickBot="1" x14ac:dyDescent="0.25">
      <c r="B22" s="14"/>
      <c r="C22" s="15"/>
      <c r="D22" s="8" t="s">
        <v>32</v>
      </c>
      <c r="F22" s="9" t="s">
        <v>12</v>
      </c>
      <c r="H22" s="8" t="s">
        <v>67</v>
      </c>
      <c r="I22" s="16"/>
      <c r="J22" s="17"/>
      <c r="M22" s="8" t="s">
        <v>79</v>
      </c>
      <c r="O22" s="19" t="s">
        <v>12</v>
      </c>
      <c r="Q22" s="8" t="s">
        <v>80</v>
      </c>
    </row>
    <row r="23" spans="1:17" ht="12" customHeight="1" thickBot="1" x14ac:dyDescent="0.25">
      <c r="A23" s="9">
        <v>40</v>
      </c>
      <c r="B23" s="10">
        <v>42547</v>
      </c>
      <c r="C23" s="11">
        <v>0.58333333333333337</v>
      </c>
      <c r="D23" s="7" t="str">
        <f>IF(SUM('League Tables'!$C$3:$E$6)=12,'League Tables'!B3,"")</f>
        <v>France</v>
      </c>
      <c r="E23" s="3"/>
      <c r="F23" s="7"/>
      <c r="G23" s="3"/>
      <c r="H23" s="7" t="str">
        <f>IF(AND(SUM('League Tables'!$C$17:$E$20)=12,SUM('League Tables'!$C$24:$E$27)=12,SUM('League Tables'!$C$31:$E$34)=12),VLOOKUP('League Tables'!$H$46,permutations[],2,FALSE),"")</f>
        <v>R. of Ireland</v>
      </c>
      <c r="I23" s="16"/>
      <c r="J23" s="18">
        <v>48</v>
      </c>
      <c r="K23" s="10">
        <v>42554</v>
      </c>
      <c r="L23" s="11">
        <v>0.83333333333333337</v>
      </c>
      <c r="M23" s="7" t="str">
        <f>IF(E23&gt;G23,D23,IF(E23&lt;G23,H23,IF(E23=G23,IF(E24&gt;G24,D23,IF(E24&lt;G24,H23,IF(E24=G24,IF(E25&gt;G25,D23,IF(E25&lt;G25,H23,""))))))))</f>
        <v/>
      </c>
      <c r="N23" s="3"/>
      <c r="O23" s="12"/>
      <c r="P23" s="3"/>
      <c r="Q23" s="13" t="str">
        <f>IF(E43&gt;G43,D43,IF(E43&lt;G43,H43,IF(E43=G43,IF(E44&gt;G44,D43,IF(E44&lt;G44,H43,IF(E44=G44,IF(E45&gt;G45,D43,IF(E45&lt;G45,H43,""))))))))</f>
        <v/>
      </c>
    </row>
    <row r="24" spans="1:17" ht="12" customHeight="1" thickBot="1" x14ac:dyDescent="0.25">
      <c r="B24" s="14"/>
      <c r="C24" s="15"/>
      <c r="D24" s="7" t="s">
        <v>29</v>
      </c>
      <c r="E24" s="3"/>
      <c r="G24" s="3"/>
      <c r="I24" s="16"/>
      <c r="J24" s="17"/>
      <c r="M24" s="7" t="s">
        <v>29</v>
      </c>
      <c r="N24" s="3"/>
      <c r="O24" s="12"/>
      <c r="P24" s="3"/>
    </row>
    <row r="25" spans="1:17" ht="12" customHeight="1" thickBot="1" x14ac:dyDescent="0.25">
      <c r="B25" s="14"/>
      <c r="C25" s="15"/>
      <c r="D25" s="7" t="s">
        <v>43</v>
      </c>
      <c r="E25" s="3"/>
      <c r="G25" s="3"/>
      <c r="I25" s="16"/>
      <c r="J25" s="17"/>
      <c r="M25" s="7" t="s">
        <v>43</v>
      </c>
      <c r="N25" s="3"/>
      <c r="O25" s="12"/>
      <c r="P25" s="3"/>
    </row>
    <row r="26" spans="1:17" ht="12" customHeight="1" x14ac:dyDescent="0.2">
      <c r="B26" s="14"/>
      <c r="C26" s="15"/>
      <c r="I26" s="16"/>
      <c r="J26" s="17"/>
    </row>
    <row r="27" spans="1:17" ht="12" customHeight="1" thickBot="1" x14ac:dyDescent="0.25">
      <c r="B27" s="14"/>
      <c r="C27" s="15"/>
      <c r="D27" s="8" t="s">
        <v>34</v>
      </c>
      <c r="F27" s="9" t="s">
        <v>12</v>
      </c>
      <c r="H27" s="8" t="s">
        <v>68</v>
      </c>
      <c r="I27" s="16"/>
      <c r="J27" s="17"/>
    </row>
    <row r="28" spans="1:17" ht="12" customHeight="1" thickBot="1" x14ac:dyDescent="0.25">
      <c r="A28" s="9">
        <v>41</v>
      </c>
      <c r="B28" s="10">
        <v>42547</v>
      </c>
      <c r="C28" s="11">
        <v>0.70833333333333337</v>
      </c>
      <c r="D28" s="7" t="str">
        <f>IF(SUM('League Tables'!$C$17:$E$20)=12,'League Tables'!B17,"")</f>
        <v>Germany</v>
      </c>
      <c r="E28" s="3"/>
      <c r="F28" s="7"/>
      <c r="G28" s="3"/>
      <c r="H28" s="7" t="str">
        <f>IF(AND(SUM('League Tables'!$C$3:$E$6)=12,SUM('League Tables'!$C$10:$E$13)=12,SUM('League Tables'!$C$38:$E$41)=12),VLOOKUP('League Tables'!$H$46,permutations[],4,FALSE),"")</f>
        <v>Slovakia</v>
      </c>
      <c r="I28" s="16"/>
      <c r="J28" s="43" t="s">
        <v>30</v>
      </c>
      <c r="K28" s="43"/>
      <c r="L28" s="43"/>
      <c r="M28" s="43"/>
      <c r="N28" s="43"/>
      <c r="O28" s="43"/>
      <c r="P28" s="43"/>
      <c r="Q28" s="43"/>
    </row>
    <row r="29" spans="1:17" ht="12" customHeight="1" thickBot="1" x14ac:dyDescent="0.25">
      <c r="B29" s="14"/>
      <c r="C29" s="15"/>
      <c r="D29" s="7" t="s">
        <v>29</v>
      </c>
      <c r="E29" s="3"/>
      <c r="G29" s="3"/>
      <c r="I29" s="16"/>
      <c r="J29" s="17"/>
      <c r="M29" s="8" t="s">
        <v>69</v>
      </c>
      <c r="O29" s="9" t="s">
        <v>12</v>
      </c>
      <c r="Q29" s="8" t="s">
        <v>70</v>
      </c>
    </row>
    <row r="30" spans="1:17" ht="12" customHeight="1" thickBot="1" x14ac:dyDescent="0.25">
      <c r="B30" s="14"/>
      <c r="C30" s="15"/>
      <c r="D30" s="7" t="s">
        <v>43</v>
      </c>
      <c r="E30" s="3"/>
      <c r="G30" s="3"/>
      <c r="I30" s="16"/>
      <c r="J30" s="18">
        <v>49</v>
      </c>
      <c r="K30" s="10">
        <v>42557</v>
      </c>
      <c r="L30" s="11">
        <v>0.83333333333333337</v>
      </c>
      <c r="M30" s="7" t="str">
        <f>IF(N8&gt;P8,M8,IF(N8&lt;P8,Q8,IF(N8=P8,IF(N9&gt;P9,M8,IF(N9&lt;P9,Q8,IF(N9=P9,IF(N10&gt;P10,M8,IF(N10&lt;P10,Q8,""))))))))</f>
        <v/>
      </c>
      <c r="N30" s="3"/>
      <c r="O30" s="12"/>
      <c r="P30" s="3"/>
      <c r="Q30" s="13" t="str">
        <f>IF(N13&gt;P13,M13,IF(N13&lt;P13,Q13,IF(N13=P13,IF(N14&gt;P14,M13,IF(N14&lt;P14,Q13,IF(N14=P14,IF(N15&gt;P15,M13,IF(N15&lt;P15,Q13,""))))))))</f>
        <v/>
      </c>
    </row>
    <row r="31" spans="1:17" ht="12" customHeight="1" thickBot="1" x14ac:dyDescent="0.25">
      <c r="B31" s="14"/>
      <c r="C31" s="15"/>
      <c r="I31" s="16"/>
      <c r="J31" s="17"/>
      <c r="M31" s="7" t="s">
        <v>29</v>
      </c>
      <c r="N31" s="3"/>
      <c r="O31" s="12"/>
      <c r="P31" s="3"/>
    </row>
    <row r="32" spans="1:17" ht="12" customHeight="1" thickBot="1" x14ac:dyDescent="0.25">
      <c r="B32" s="14"/>
      <c r="C32" s="15"/>
      <c r="D32" s="8" t="s">
        <v>41</v>
      </c>
      <c r="F32" s="9" t="s">
        <v>12</v>
      </c>
      <c r="H32" s="8" t="s">
        <v>42</v>
      </c>
      <c r="I32" s="16"/>
      <c r="J32" s="17"/>
      <c r="M32" s="7" t="s">
        <v>43</v>
      </c>
      <c r="N32" s="3"/>
      <c r="O32" s="12"/>
      <c r="P32" s="3"/>
    </row>
    <row r="33" spans="1:17" ht="12" customHeight="1" thickBot="1" x14ac:dyDescent="0.3">
      <c r="A33" s="9">
        <v>42</v>
      </c>
      <c r="B33" s="10">
        <v>42547</v>
      </c>
      <c r="C33" s="11">
        <v>0.83333333333333337</v>
      </c>
      <c r="D33" s="7" t="str">
        <f>IF(SUM('League Tables'!$C$38:$E$41)=12,'League Tables'!B38,"")</f>
        <v>Hungary</v>
      </c>
      <c r="E33" s="3"/>
      <c r="F33" s="7"/>
      <c r="G33" s="3"/>
      <c r="H33" s="7" t="str">
        <f>IF(SUM('League Tables'!$C$31:$E$34)=12,'League Tables'!B32,"")</f>
        <v>Italy</v>
      </c>
      <c r="I33" s="16"/>
      <c r="J33" s="17"/>
      <c r="N33" s="20"/>
      <c r="O33" s="20"/>
      <c r="P33" s="20"/>
    </row>
    <row r="34" spans="1:17" ht="12" customHeight="1" thickBot="1" x14ac:dyDescent="0.25">
      <c r="B34" s="14"/>
      <c r="C34" s="15"/>
      <c r="D34" s="7" t="s">
        <v>29</v>
      </c>
      <c r="E34" s="3"/>
      <c r="G34" s="3"/>
      <c r="I34" s="16"/>
      <c r="J34" s="17"/>
      <c r="M34" s="8" t="s">
        <v>71</v>
      </c>
      <c r="O34" s="12" t="s">
        <v>12</v>
      </c>
      <c r="Q34" s="8" t="s">
        <v>72</v>
      </c>
    </row>
    <row r="35" spans="1:17" ht="12" customHeight="1" thickBot="1" x14ac:dyDescent="0.25">
      <c r="B35" s="14"/>
      <c r="C35" s="15"/>
      <c r="D35" s="7" t="s">
        <v>43</v>
      </c>
      <c r="E35" s="3"/>
      <c r="G35" s="3"/>
      <c r="I35" s="16"/>
      <c r="J35" s="18">
        <v>50</v>
      </c>
      <c r="K35" s="10">
        <v>42558</v>
      </c>
      <c r="L35" s="11">
        <v>0.83333333333333337</v>
      </c>
      <c r="M35" s="7" t="str">
        <f>IF(N18&gt;P18,M18,IF(N18&lt;P18,Q18,IF(N18=P18,IF(N19&gt;P19,M18,IF(N19&lt;P19,Q18,IF(N19=P19,IF(N20&gt;P20,M18,IF(N20&lt;P20,Q18,""))))))))</f>
        <v/>
      </c>
      <c r="N35" s="3"/>
      <c r="O35" s="12"/>
      <c r="P35" s="3"/>
      <c r="Q35" s="7" t="str">
        <f>IF(N23&gt;P23,M23,IF(N23&lt;P23,Q23,IF(N23=P23,IF(N24&gt;P24,M23,IF(N24&lt;P24,Q23,IF(N24=P24,IF(N25&gt;P25,M23,IF(N25&lt;P25,Q23,""))))))))</f>
        <v/>
      </c>
    </row>
    <row r="36" spans="1:17" ht="12" customHeight="1" thickBot="1" x14ac:dyDescent="0.25">
      <c r="B36" s="14"/>
      <c r="C36" s="15"/>
      <c r="I36" s="16"/>
      <c r="J36" s="17"/>
      <c r="M36" s="7" t="s">
        <v>29</v>
      </c>
      <c r="N36" s="3"/>
      <c r="O36" s="12"/>
      <c r="P36" s="3"/>
    </row>
    <row r="37" spans="1:17" ht="12" customHeight="1" thickBot="1" x14ac:dyDescent="0.25">
      <c r="D37" s="8" t="s">
        <v>39</v>
      </c>
      <c r="F37" s="12" t="s">
        <v>12</v>
      </c>
      <c r="H37" s="8" t="s">
        <v>35</v>
      </c>
      <c r="I37" s="16"/>
      <c r="J37" s="17"/>
      <c r="M37" s="7" t="s">
        <v>43</v>
      </c>
      <c r="N37" s="3"/>
      <c r="O37" s="12"/>
      <c r="P37" s="3"/>
    </row>
    <row r="38" spans="1:17" ht="12" customHeight="1" thickBot="1" x14ac:dyDescent="0.25">
      <c r="A38" s="9">
        <v>43</v>
      </c>
      <c r="B38" s="10">
        <v>42548</v>
      </c>
      <c r="C38" s="11">
        <v>0.70833333333333337</v>
      </c>
      <c r="D38" s="7" t="str">
        <f>IF(SUM('League Tables'!$C$31:$E$34)=12,'League Tables'!B31,"")</f>
        <v>Belgium</v>
      </c>
      <c r="E38" s="3"/>
      <c r="G38" s="3"/>
      <c r="H38" s="7" t="str">
        <f>IF(SUM('League Tables'!$C$24:$E$27)=12,'League Tables'!B25,"")</f>
        <v>Spain</v>
      </c>
      <c r="J38" s="17"/>
    </row>
    <row r="39" spans="1:17" ht="12" customHeight="1" thickBot="1" x14ac:dyDescent="0.25">
      <c r="B39" s="14"/>
      <c r="C39" s="15"/>
      <c r="D39" s="7" t="s">
        <v>29</v>
      </c>
      <c r="E39" s="3"/>
      <c r="G39" s="3"/>
      <c r="I39" s="16"/>
      <c r="J39" s="43" t="s">
        <v>31</v>
      </c>
      <c r="K39" s="43"/>
      <c r="L39" s="43"/>
      <c r="M39" s="43"/>
      <c r="N39" s="43"/>
      <c r="O39" s="43"/>
      <c r="P39" s="43"/>
      <c r="Q39" s="43"/>
    </row>
    <row r="40" spans="1:17" ht="12" customHeight="1" thickBot="1" x14ac:dyDescent="0.25">
      <c r="B40" s="14"/>
      <c r="C40" s="15"/>
      <c r="D40" s="7" t="s">
        <v>43</v>
      </c>
      <c r="E40" s="3"/>
      <c r="G40" s="3"/>
      <c r="I40" s="16"/>
      <c r="M40" s="8" t="s">
        <v>45</v>
      </c>
      <c r="O40" s="12" t="s">
        <v>12</v>
      </c>
      <c r="Q40" s="8" t="s">
        <v>46</v>
      </c>
    </row>
    <row r="41" spans="1:17" ht="12" customHeight="1" thickBot="1" x14ac:dyDescent="0.25">
      <c r="B41" s="14"/>
      <c r="C41" s="15"/>
      <c r="I41" s="16"/>
      <c r="J41" s="9">
        <v>52</v>
      </c>
      <c r="K41" s="10">
        <v>42561</v>
      </c>
      <c r="L41" s="11">
        <v>0.83333333333333337</v>
      </c>
      <c r="M41" s="7" t="str">
        <f>IF(N30&gt;P30,M30,IF(N30&lt;P30,Q30,IF(N30=P30,IF(N31&gt;P31,M30,IF(N31&lt;P31,Q30,IF(N31=P31,IF(N32&gt;P32,M30,IF(N32&lt;P32,Q30,""))))))))</f>
        <v/>
      </c>
      <c r="N41" s="3"/>
      <c r="O41" s="12"/>
      <c r="P41" s="3"/>
      <c r="Q41" s="7" t="str">
        <f>IF(N35&gt;P35,M35,IF(N35&lt;P35,Q35,IF(N35=P35,IF(N36&gt;P36,M35,IF(N36&lt;P36,Q35,IF(N36=P36,IF(N37&gt;P37,M35,IF(N37&lt;P37,Q35,""))))))))</f>
        <v/>
      </c>
    </row>
    <row r="42" spans="1:17" ht="12" customHeight="1" thickBot="1" x14ac:dyDescent="0.25">
      <c r="D42" s="8" t="s">
        <v>33</v>
      </c>
      <c r="F42" s="12" t="s">
        <v>12</v>
      </c>
      <c r="H42" s="8" t="s">
        <v>40</v>
      </c>
      <c r="I42" s="16"/>
      <c r="M42" s="7" t="s">
        <v>29</v>
      </c>
      <c r="N42" s="3"/>
      <c r="O42" s="12"/>
      <c r="P42" s="3"/>
    </row>
    <row r="43" spans="1:17" ht="12" customHeight="1" thickBot="1" x14ac:dyDescent="0.25">
      <c r="A43" s="9">
        <v>44</v>
      </c>
      <c r="B43" s="10">
        <v>42548</v>
      </c>
      <c r="C43" s="11">
        <v>0.83333333333333337</v>
      </c>
      <c r="D43" s="7" t="str">
        <f>IF(SUM('League Tables'!$C$10:$E$13)=12,'League Tables'!B11,"")</f>
        <v>England</v>
      </c>
      <c r="E43" s="3"/>
      <c r="F43" s="7"/>
      <c r="G43" s="3"/>
      <c r="H43" s="7" t="str">
        <f>IF(SUM('League Tables'!$C$38:$E$41)=12,'League Tables'!B39,"")</f>
        <v>Iceland</v>
      </c>
      <c r="I43" s="16"/>
      <c r="M43" s="7" t="s">
        <v>43</v>
      </c>
      <c r="N43" s="3"/>
      <c r="O43" s="12"/>
      <c r="P43" s="3"/>
    </row>
    <row r="44" spans="1:17" ht="12" customHeight="1" thickBot="1" x14ac:dyDescent="0.25">
      <c r="D44" s="7" t="s">
        <v>29</v>
      </c>
      <c r="E44" s="3"/>
      <c r="G44" s="3"/>
    </row>
    <row r="45" spans="1:17" ht="12" customHeight="1" thickBot="1" x14ac:dyDescent="0.25">
      <c r="D45" s="7" t="s">
        <v>43</v>
      </c>
      <c r="E45" s="3"/>
      <c r="G45" s="3"/>
      <c r="J45" s="16"/>
    </row>
    <row r="46" spans="1:17" ht="12" customHeight="1" x14ac:dyDescent="0.25">
      <c r="J46" s="20"/>
      <c r="K46" s="20"/>
      <c r="L46" s="20"/>
      <c r="M46" s="20"/>
      <c r="N46" s="20"/>
      <c r="O46" s="20"/>
      <c r="P46" s="20"/>
      <c r="Q46" s="20"/>
    </row>
    <row r="48" spans="1:17" ht="12" customHeight="1" x14ac:dyDescent="0.2">
      <c r="F48" s="7"/>
    </row>
    <row r="49" spans="6:10" ht="12" customHeight="1" x14ac:dyDescent="0.2">
      <c r="F49" s="7"/>
      <c r="I49" s="16"/>
    </row>
    <row r="50" spans="6:10" ht="12" customHeight="1" x14ac:dyDescent="0.2">
      <c r="F50" s="7"/>
      <c r="I50" s="16"/>
    </row>
    <row r="51" spans="6:10" ht="12" customHeight="1" x14ac:dyDescent="0.2">
      <c r="F51" s="7"/>
      <c r="I51" s="16"/>
    </row>
    <row r="52" spans="6:10" ht="12" customHeight="1" x14ac:dyDescent="0.2">
      <c r="F52" s="7"/>
      <c r="I52" s="16"/>
    </row>
    <row r="53" spans="6:10" ht="12" customHeight="1" x14ac:dyDescent="0.2">
      <c r="F53" s="7"/>
    </row>
    <row r="54" spans="6:10" ht="12" customHeight="1" x14ac:dyDescent="0.2">
      <c r="F54" s="7"/>
      <c r="J54" s="16"/>
    </row>
    <row r="55" spans="6:10" ht="12" customHeight="1" x14ac:dyDescent="0.2">
      <c r="F55" s="7"/>
      <c r="J55" s="16"/>
    </row>
    <row r="56" spans="6:10" ht="12" customHeight="1" x14ac:dyDescent="0.2">
      <c r="F56" s="7"/>
      <c r="J56" s="16"/>
    </row>
    <row r="57" spans="6:10" ht="12" customHeight="1" x14ac:dyDescent="0.2">
      <c r="F57" s="7"/>
    </row>
    <row r="58" spans="6:10" ht="12" customHeight="1" x14ac:dyDescent="0.2">
      <c r="F58" s="7"/>
    </row>
    <row r="59" spans="6:10" ht="12" customHeight="1" x14ac:dyDescent="0.2">
      <c r="F59" s="7"/>
    </row>
    <row r="60" spans="6:10" ht="12" customHeight="1" x14ac:dyDescent="0.2">
      <c r="F60" s="7"/>
    </row>
    <row r="61" spans="6:10" ht="12" customHeight="1" x14ac:dyDescent="0.2">
      <c r="F61" s="7"/>
    </row>
    <row r="62" spans="6:10" ht="12" customHeight="1" x14ac:dyDescent="0.2">
      <c r="F62" s="7"/>
    </row>
  </sheetData>
  <sheetProtection sheet="1" objects="1" scenarios="1"/>
  <mergeCells count="4">
    <mergeCell ref="A6:H6"/>
    <mergeCell ref="J6:Q6"/>
    <mergeCell ref="J28:Q28"/>
    <mergeCell ref="J39:Q39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50"/>
  <sheetViews>
    <sheetView topLeftCell="A29" workbookViewId="0">
      <selection activeCell="N31" sqref="N31"/>
    </sheetView>
  </sheetViews>
  <sheetFormatPr defaultRowHeight="15" x14ac:dyDescent="0.25"/>
  <cols>
    <col min="1" max="1" width="11.42578125" customWidth="1"/>
    <col min="3" max="3" width="12.5703125" bestFit="1" customWidth="1"/>
  </cols>
  <sheetData>
    <row r="1" spans="1:14" x14ac:dyDescent="0.25">
      <c r="A1" s="1" t="s">
        <v>13</v>
      </c>
      <c r="E1" s="2"/>
      <c r="F1" s="2"/>
      <c r="G1" s="2"/>
      <c r="H1" s="2"/>
      <c r="I1" s="2"/>
      <c r="J1" s="2"/>
      <c r="K1" s="2"/>
    </row>
    <row r="2" spans="1:14" x14ac:dyDescent="0.25">
      <c r="A2" s="1" t="s">
        <v>87</v>
      </c>
      <c r="B2" s="1" t="s">
        <v>4</v>
      </c>
      <c r="C2" s="1" t="s">
        <v>5</v>
      </c>
      <c r="D2" s="1" t="s">
        <v>6</v>
      </c>
      <c r="E2" s="1" t="s">
        <v>7</v>
      </c>
      <c r="F2" s="1" t="s">
        <v>8</v>
      </c>
      <c r="G2" s="1" t="s">
        <v>9</v>
      </c>
      <c r="H2" s="1" t="s">
        <v>0</v>
      </c>
      <c r="I2" s="1" t="s">
        <v>1</v>
      </c>
      <c r="J2" s="1" t="s">
        <v>3</v>
      </c>
      <c r="K2" s="1" t="s">
        <v>47</v>
      </c>
      <c r="L2" s="1" t="s">
        <v>85</v>
      </c>
      <c r="M2" s="1" t="s">
        <v>86</v>
      </c>
      <c r="N2" s="1" t="s">
        <v>48</v>
      </c>
    </row>
    <row r="3" spans="1:14" x14ac:dyDescent="0.25">
      <c r="A3">
        <f>GroupA[[#This Row],[Rank]]+COUNTIF($B$3:$B3,GroupA[[#This Row],[Rank]])-1</f>
        <v>3</v>
      </c>
      <c r="B3">
        <f>GroupA[[#This Row],[Rank2]]+GroupA[[#This Row],[GD3]]+GroupA[[#This Row],[Goals]]</f>
        <v>3</v>
      </c>
      <c r="C3" t="s">
        <v>49</v>
      </c>
      <c r="D3">
        <f>SUMPRODUCT((FixturesA[Team1]=GroupA[[#This Row],[Team]])*(FixturesA[Team1 Score]&lt;&gt;"")+(FixturesA[Team2]=GroupA[[#This Row],[Team]])*(FixturesA[Team2 Score]&lt;&gt;""))</f>
        <v>3</v>
      </c>
      <c r="E3">
        <f>SUMPRODUCT((FixturesA[Team1]=GroupA[[#This Row],[Team]])*(FixturesA[Team1 Score]&gt;FixturesA[Team2 Score])+(FixturesA[Team2]=GroupA[[#This Row],[Team]])*(FixturesA[Team2 Score]&gt;FixturesA[Team1 Score]))</f>
        <v>1</v>
      </c>
      <c r="F3">
        <f>SUMPRODUCT((FixturesA[Team1]=GroupA[[#This Row],[Team]])*(FixturesA[Team1 Score]&lt;FixturesA[Team2 Score])+(FixturesA[Team2]=GroupA[[#This Row],[Team]])*(FixturesA[Team2 Score]&lt;FixturesA[Team1 Score]))</f>
        <v>2</v>
      </c>
      <c r="G3">
        <f>SUMPRODUCT((FixturesA[Team1]=GroupA[[#This Row],[Team]])*(FixturesA[Team1 Score]=FixturesA[Team2 Score])*(FixturesA[Team1 Score]&lt;&gt;"")+(FixturesA[Team2]=GroupA[[#This Row],[Team]])*(FixturesA[Team2 Score]=FixturesA[Team1 Score])*(FixturesA[Team2 Score]&lt;&gt;""))</f>
        <v>0</v>
      </c>
      <c r="H3">
        <f>SUMPRODUCT((FixturesA[Team1]=GroupA[[#This Row],[Team]])*(FixturesA[Team1 Score])+(FixturesA[Team2]=GroupA[[#This Row],[Team]])*(FixturesA[Team2 Score]))</f>
        <v>1</v>
      </c>
      <c r="I3">
        <f>SUMPRODUCT((FixturesA[Team1]=GroupA[[#This Row],[Team]])*(FixturesA[Team2 Score])+(FixturesA[Team2]=GroupA[[#This Row],[Team]])*(FixturesA[Team1 Score]))</f>
        <v>3</v>
      </c>
      <c r="J3">
        <f>GroupA[[#This Row],[W]]*3+GroupA[[#This Row],[D]]*1</f>
        <v>3</v>
      </c>
      <c r="K3">
        <f>GroupA[[#This Row],[F]]-GroupA[[#This Row],[A]]</f>
        <v>-2</v>
      </c>
      <c r="L3">
        <f>RANK(J3,$J$3:$J$6)</f>
        <v>3</v>
      </c>
      <c r="M3">
        <f>SUMPRODUCT(($J$3:$J$6=J3)*($K$3:$K$6&gt;K3))</f>
        <v>0</v>
      </c>
      <c r="N3">
        <f>SUMPRODUCT(($J$3:$J$6=J3)*($K$3:$K$6=K3)*($H$3:$H$6&gt;H3))</f>
        <v>0</v>
      </c>
    </row>
    <row r="4" spans="1:14" x14ac:dyDescent="0.25">
      <c r="A4">
        <f>GroupA[[#This Row],[Rank]]+COUNTIF($B$3:$B4,GroupA[[#This Row],[Rank]])-1</f>
        <v>1</v>
      </c>
      <c r="B4">
        <f>GroupA[[#This Row],[Rank2]]+GroupA[[#This Row],[GD3]]+GroupA[[#This Row],[Goals]]</f>
        <v>1</v>
      </c>
      <c r="C4" t="s">
        <v>14</v>
      </c>
      <c r="D4">
        <f>SUMPRODUCT((FixturesA[Team1]=GroupA[[#This Row],[Team]])*(FixturesA[Team1 Score]&lt;&gt;"")+(FixturesA[Team2]=GroupA[[#This Row],[Team]])*(FixturesA[Team2 Score]&lt;&gt;""))</f>
        <v>3</v>
      </c>
      <c r="E4">
        <f>SUMPRODUCT((FixturesA[Team1]=GroupA[[#This Row],[Team]])*(FixturesA[Team1 Score]&gt;FixturesA[Team2 Score])+(FixturesA[Team2]=GroupA[[#This Row],[Team]])*(FixturesA[Team2 Score]&gt;FixturesA[Team1 Score]))</f>
        <v>2</v>
      </c>
      <c r="F4">
        <f>SUMPRODUCT((FixturesA[Team1]=GroupA[[#This Row],[Team]])*(FixturesA[Team1 Score]&lt;FixturesA[Team2 Score])+(FixturesA[Team2]=GroupA[[#This Row],[Team]])*(FixturesA[Team2 Score]&lt;FixturesA[Team1 Score]))</f>
        <v>0</v>
      </c>
      <c r="G4">
        <f>SUMPRODUCT((FixturesA[Team1]=GroupA[[#This Row],[Team]])*(FixturesA[Team1 Score]=FixturesA[Team2 Score])*(FixturesA[Team1 Score]&lt;&gt;"")+(FixturesA[Team2]=GroupA[[#This Row],[Team]])*(FixturesA[Team2 Score]=FixturesA[Team1 Score])*(FixturesA[Team2 Score]&lt;&gt;""))</f>
        <v>1</v>
      </c>
      <c r="H4">
        <f>SUMPRODUCT((FixturesA[Team1]=GroupA[[#This Row],[Team]])*(FixturesA[Team1 Score])+(FixturesA[Team2]=GroupA[[#This Row],[Team]])*(FixturesA[Team2 Score]))</f>
        <v>4</v>
      </c>
      <c r="I4">
        <f>SUMPRODUCT((FixturesA[Team1]=GroupA[[#This Row],[Team]])*(FixturesA[Team2 Score])+(FixturesA[Team2]=GroupA[[#This Row],[Team]])*(FixturesA[Team1 Score]))</f>
        <v>1</v>
      </c>
      <c r="J4">
        <f>GroupA[[#This Row],[W]]*3+GroupA[[#This Row],[D]]*1</f>
        <v>7</v>
      </c>
      <c r="K4">
        <f>GroupA[[#This Row],[F]]-GroupA[[#This Row],[A]]</f>
        <v>3</v>
      </c>
      <c r="L4">
        <f t="shared" ref="L4:L6" si="0">RANK(J4,$J$3:$J$6)</f>
        <v>1</v>
      </c>
      <c r="M4">
        <f t="shared" ref="M4:M6" si="1">SUMPRODUCT(($J$3:$J$6=J4)*($K$3:$K$6&gt;K4))</f>
        <v>0</v>
      </c>
      <c r="N4">
        <f t="shared" ref="N4:N6" si="2">SUMPRODUCT(($J$3:$J$6=J4)*($K$3:$K$6=K4)*($H$3:$H$6&gt;H4))</f>
        <v>0</v>
      </c>
    </row>
    <row r="5" spans="1:14" x14ac:dyDescent="0.25">
      <c r="A5">
        <f>GroupA[[#This Row],[Rank]]+COUNTIF($B$3:$B5,GroupA[[#This Row],[Rank]])-1</f>
        <v>4</v>
      </c>
      <c r="B5">
        <f>GroupA[[#This Row],[Rank2]]+GroupA[[#This Row],[GD3]]+GroupA[[#This Row],[Goals]]</f>
        <v>4</v>
      </c>
      <c r="C5" t="s">
        <v>50</v>
      </c>
      <c r="D5">
        <f>SUMPRODUCT((FixturesA[Team1]=GroupA[[#This Row],[Team]])*(FixturesA[Team1 Score]&lt;&gt;"")+(FixturesA[Team2]=GroupA[[#This Row],[Team]])*(FixturesA[Team2 Score]&lt;&gt;""))</f>
        <v>3</v>
      </c>
      <c r="E5">
        <f>SUMPRODUCT((FixturesA[Team1]=GroupA[[#This Row],[Team]])*(FixturesA[Team1 Score]&gt;FixturesA[Team2 Score])+(FixturesA[Team2]=GroupA[[#This Row],[Team]])*(FixturesA[Team2 Score]&gt;FixturesA[Team1 Score]))</f>
        <v>0</v>
      </c>
      <c r="F5">
        <f>SUMPRODUCT((FixturesA[Team1]=GroupA[[#This Row],[Team]])*(FixturesA[Team1 Score]&lt;FixturesA[Team2 Score])+(FixturesA[Team2]=GroupA[[#This Row],[Team]])*(FixturesA[Team2 Score]&lt;FixturesA[Team1 Score]))</f>
        <v>2</v>
      </c>
      <c r="G5">
        <f>SUMPRODUCT((FixturesA[Team1]=GroupA[[#This Row],[Team]])*(FixturesA[Team1 Score]=FixturesA[Team2 Score])*(FixturesA[Team1 Score]&lt;&gt;"")+(FixturesA[Team2]=GroupA[[#This Row],[Team]])*(FixturesA[Team2 Score]=FixturesA[Team1 Score])*(FixturesA[Team2 Score]&lt;&gt;""))</f>
        <v>1</v>
      </c>
      <c r="H5">
        <f>SUMPRODUCT((FixturesA[Team1]=GroupA[[#This Row],[Team]])*(FixturesA[Team1 Score])+(FixturesA[Team2]=GroupA[[#This Row],[Team]])*(FixturesA[Team2 Score]))</f>
        <v>2</v>
      </c>
      <c r="I5">
        <f>SUMPRODUCT((FixturesA[Team1]=GroupA[[#This Row],[Team]])*(FixturesA[Team2 Score])+(FixturesA[Team2]=GroupA[[#This Row],[Team]])*(FixturesA[Team1 Score]))</f>
        <v>4</v>
      </c>
      <c r="J5">
        <f>GroupA[[#This Row],[W]]*3+GroupA[[#This Row],[D]]*1</f>
        <v>1</v>
      </c>
      <c r="K5">
        <f>GroupA[[#This Row],[F]]-GroupA[[#This Row],[A]]</f>
        <v>-2</v>
      </c>
      <c r="L5">
        <f t="shared" si="0"/>
        <v>4</v>
      </c>
      <c r="M5">
        <f t="shared" si="1"/>
        <v>0</v>
      </c>
      <c r="N5">
        <f t="shared" si="2"/>
        <v>0</v>
      </c>
    </row>
    <row r="6" spans="1:14" x14ac:dyDescent="0.25">
      <c r="A6">
        <f>GroupA[[#This Row],[Rank]]+COUNTIF($B$3:$B6,GroupA[[#This Row],[Rank]])-1</f>
        <v>2</v>
      </c>
      <c r="B6">
        <f>GroupA[[#This Row],[Rank2]]+GroupA[[#This Row],[GD3]]+GroupA[[#This Row],[Goals]]</f>
        <v>2</v>
      </c>
      <c r="C6" t="s">
        <v>26</v>
      </c>
      <c r="D6">
        <f>SUMPRODUCT((FixturesA[Team1]=GroupA[[#This Row],[Team]])*(FixturesA[Team1 Score]&lt;&gt;"")+(FixturesA[Team2]=GroupA[[#This Row],[Team]])*(FixturesA[Team2 Score]&lt;&gt;""))</f>
        <v>3</v>
      </c>
      <c r="E6">
        <f>SUMPRODUCT((FixturesA[Team1]=GroupA[[#This Row],[Team]])*(FixturesA[Team1 Score]&gt;FixturesA[Team2 Score])+(FixturesA[Team2]=GroupA[[#This Row],[Team]])*(FixturesA[Team2 Score]&gt;FixturesA[Team1 Score]))</f>
        <v>1</v>
      </c>
      <c r="F6">
        <f>SUMPRODUCT((FixturesA[Team1]=GroupA[[#This Row],[Team]])*(FixturesA[Team1 Score]&lt;FixturesA[Team2 Score])+(FixturesA[Team2]=GroupA[[#This Row],[Team]])*(FixturesA[Team2 Score]&lt;FixturesA[Team1 Score]))</f>
        <v>0</v>
      </c>
      <c r="G6">
        <f>SUMPRODUCT((FixturesA[Team1]=GroupA[[#This Row],[Team]])*(FixturesA[Team1 Score]=FixturesA[Team2 Score])*(FixturesA[Team1 Score]&lt;&gt;"")+(FixturesA[Team2]=GroupA[[#This Row],[Team]])*(FixturesA[Team2 Score]=FixturesA[Team1 Score])*(FixturesA[Team2 Score]&lt;&gt;""))</f>
        <v>2</v>
      </c>
      <c r="H6">
        <f>SUMPRODUCT((FixturesA[Team1]=GroupA[[#This Row],[Team]])*(FixturesA[Team1 Score])+(FixturesA[Team2]=GroupA[[#This Row],[Team]])*(FixturesA[Team2 Score]))</f>
        <v>2</v>
      </c>
      <c r="I6">
        <f>SUMPRODUCT((FixturesA[Team1]=GroupA[[#This Row],[Team]])*(FixturesA[Team2 Score])+(FixturesA[Team2]=GroupA[[#This Row],[Team]])*(FixturesA[Team1 Score]))</f>
        <v>1</v>
      </c>
      <c r="J6">
        <f>GroupA[[#This Row],[W]]*3+GroupA[[#This Row],[D]]*1</f>
        <v>5</v>
      </c>
      <c r="K6">
        <f>GroupA[[#This Row],[F]]-GroupA[[#This Row],[A]]</f>
        <v>1</v>
      </c>
      <c r="L6">
        <f t="shared" si="0"/>
        <v>2</v>
      </c>
      <c r="M6">
        <f t="shared" si="1"/>
        <v>0</v>
      </c>
      <c r="N6">
        <f t="shared" si="2"/>
        <v>0</v>
      </c>
    </row>
    <row r="8" spans="1:14" x14ac:dyDescent="0.25">
      <c r="A8" s="1" t="s">
        <v>15</v>
      </c>
    </row>
    <row r="9" spans="1:14" x14ac:dyDescent="0.25">
      <c r="A9" s="1" t="s">
        <v>87</v>
      </c>
      <c r="B9" s="1" t="s">
        <v>4</v>
      </c>
      <c r="C9" s="1" t="s">
        <v>5</v>
      </c>
      <c r="D9" s="1" t="s">
        <v>6</v>
      </c>
      <c r="E9" s="1" t="s">
        <v>7</v>
      </c>
      <c r="F9" s="1" t="s">
        <v>8</v>
      </c>
      <c r="G9" s="1" t="s">
        <v>9</v>
      </c>
      <c r="H9" s="1" t="s">
        <v>0</v>
      </c>
      <c r="I9" s="1" t="s">
        <v>1</v>
      </c>
      <c r="J9" s="1" t="s">
        <v>3</v>
      </c>
      <c r="K9" s="1" t="s">
        <v>47</v>
      </c>
      <c r="L9" s="1" t="s">
        <v>85</v>
      </c>
      <c r="M9" s="1" t="s">
        <v>86</v>
      </c>
      <c r="N9" s="1" t="s">
        <v>48</v>
      </c>
    </row>
    <row r="10" spans="1:14" x14ac:dyDescent="0.25">
      <c r="A10">
        <f>GroupB[[#This Row],[Rank]]+COUNTIF($B$10:$B10,GroupB[[#This Row],[Rank]])-1</f>
        <v>2</v>
      </c>
      <c r="B10">
        <f>GroupB[[#This Row],[Rank2]]+GroupB[[#This Row],[GD3]]+GroupB[[#This Row],[Goals]]</f>
        <v>2</v>
      </c>
      <c r="C10" t="s">
        <v>17</v>
      </c>
      <c r="D10">
        <f>SUMPRODUCT((FixturesB[Team1]=GroupB[[#This Row],[Team]])*(FixturesB[Team1 Score]&lt;&gt;"")+(FixturesB[Team2]=GroupB[[#This Row],[Team]])*(FixturesB[Team2 Score]&lt;&gt;""))</f>
        <v>3</v>
      </c>
      <c r="E10">
        <f>SUMPRODUCT((FixturesB[Team1]=GroupB[[#This Row],[Team]])*(FixturesB[Team1 Score]&gt;FixturesB[Team2 Score])+(FixturesB[Team2]=GroupB[[#This Row],[Team]])*(FixturesB[Team2 Score]&gt;FixturesB[Team1 Score]))</f>
        <v>1</v>
      </c>
      <c r="F10">
        <f>SUMPRODUCT((FixturesB[Team1]=GroupB[[#This Row],[Team]])*(FixturesB[Team1 Score]&lt;FixturesB[Team2 Score])+(FixturesB[Team2]=GroupB[[#This Row],[Team]])*(FixturesB[Team2 Score]&lt;FixturesB[Team1 Score]))</f>
        <v>0</v>
      </c>
      <c r="G10">
        <f>SUMPRODUCT((FixturesB[Team1]=GroupB[[#This Row],[Team]])*(FixturesB[Team1 Score]=FixturesB[Team2 Score])*(FixturesB[Team1 Score]&lt;&gt;"")+(FixturesB[Team2]=GroupB[[#This Row],[Team]])*(FixturesB[Team2 Score]=FixturesB[Team1 Score])*(FixturesB[Team2 Score]&lt;&gt;""))</f>
        <v>2</v>
      </c>
      <c r="H10">
        <f>SUMPRODUCT((FixturesB[Team1]=GroupB[[#This Row],[Team]])*(FixturesB[Team1 Score])+(FixturesB[Team2]=GroupB[[#This Row],[Team]])*(FixturesB[Team2 Score]))</f>
        <v>3</v>
      </c>
      <c r="I10">
        <f>SUMPRODUCT((FixturesB[Team1]=GroupB[[#This Row],[Team]])*(FixturesB[Team2 Score])+(FixturesB[Team2]=GroupB[[#This Row],[Team]])*(FixturesB[Team1 Score]))</f>
        <v>2</v>
      </c>
      <c r="J10">
        <f>GroupB[[#This Row],[W]]*3+GroupB[[#This Row],[D]]*1</f>
        <v>5</v>
      </c>
      <c r="K10">
        <f>GroupB[[#This Row],[F]]-GroupB[[#This Row],[A]]</f>
        <v>1</v>
      </c>
      <c r="L10">
        <f>RANK(J10,$J$10:$J$13)</f>
        <v>2</v>
      </c>
      <c r="M10">
        <f>SUMPRODUCT(($J$10:$J$13=J10)*($K$10:$K$13&gt;K10))</f>
        <v>0</v>
      </c>
      <c r="N10">
        <f>SUMPRODUCT(($J$10:$J$13=J10)*($K$10:$K$13=K10)*($H$10:$H$13&gt;H10))</f>
        <v>0</v>
      </c>
    </row>
    <row r="11" spans="1:14" x14ac:dyDescent="0.25">
      <c r="A11">
        <f>GroupB[[#This Row],[Rank]]+COUNTIF($B$10:$B11,GroupB[[#This Row],[Rank]])-1</f>
        <v>4</v>
      </c>
      <c r="B11">
        <f>GroupB[[#This Row],[Rank2]]+GroupB[[#This Row],[GD3]]+GroupB[[#This Row],[Goals]]</f>
        <v>4</v>
      </c>
      <c r="C11" t="s">
        <v>51</v>
      </c>
      <c r="D11">
        <f>SUMPRODUCT((FixturesB[Team1]=GroupB[[#This Row],[Team]])*(FixturesB[Team1 Score]&lt;&gt;"")+(FixturesB[Team2]=GroupB[[#This Row],[Team]])*(FixturesB[Team2 Score]&lt;&gt;""))</f>
        <v>3</v>
      </c>
      <c r="E11">
        <f>SUMPRODUCT((FixturesB[Team1]=GroupB[[#This Row],[Team]])*(FixturesB[Team1 Score]&gt;FixturesB[Team2 Score])+(FixturesB[Team2]=GroupB[[#This Row],[Team]])*(FixturesB[Team2 Score]&gt;FixturesB[Team1 Score]))</f>
        <v>0</v>
      </c>
      <c r="F11">
        <f>SUMPRODUCT((FixturesB[Team1]=GroupB[[#This Row],[Team]])*(FixturesB[Team1 Score]&lt;FixturesB[Team2 Score])+(FixturesB[Team2]=GroupB[[#This Row],[Team]])*(FixturesB[Team2 Score]&lt;FixturesB[Team1 Score]))</f>
        <v>2</v>
      </c>
      <c r="G11">
        <f>SUMPRODUCT((FixturesB[Team1]=GroupB[[#This Row],[Team]])*(FixturesB[Team1 Score]=FixturesB[Team2 Score])*(FixturesB[Team1 Score]&lt;&gt;"")+(FixturesB[Team2]=GroupB[[#This Row],[Team]])*(FixturesB[Team2 Score]=FixturesB[Team1 Score])*(FixturesB[Team2 Score]&lt;&gt;""))</f>
        <v>1</v>
      </c>
      <c r="H11">
        <f>SUMPRODUCT((FixturesB[Team1]=GroupB[[#This Row],[Team]])*(FixturesB[Team1 Score])+(FixturesB[Team2]=GroupB[[#This Row],[Team]])*(FixturesB[Team2 Score]))</f>
        <v>2</v>
      </c>
      <c r="I11">
        <f>SUMPRODUCT((FixturesB[Team1]=GroupB[[#This Row],[Team]])*(FixturesB[Team2 Score])+(FixturesB[Team2]=GroupB[[#This Row],[Team]])*(FixturesB[Team1 Score]))</f>
        <v>6</v>
      </c>
      <c r="J11">
        <f>GroupB[[#This Row],[W]]*3+GroupB[[#This Row],[D]]*1</f>
        <v>1</v>
      </c>
      <c r="K11">
        <f>GroupB[[#This Row],[F]]-GroupB[[#This Row],[A]]</f>
        <v>-4</v>
      </c>
      <c r="L11">
        <f t="shared" ref="L11:L13" si="3">RANK(J11,$J$10:$J$13)</f>
        <v>4</v>
      </c>
      <c r="M11">
        <f t="shared" ref="M11:M13" si="4">SUMPRODUCT(($J$10:$J$13=J11)*($K$10:$K$13&gt;K11))</f>
        <v>0</v>
      </c>
      <c r="N11">
        <f t="shared" ref="N11:N13" si="5">SUMPRODUCT(($J$10:$J$13=J11)*($K$10:$K$13=K11)*($H$10:$H$13&gt;H11))</f>
        <v>0</v>
      </c>
    </row>
    <row r="12" spans="1:14" x14ac:dyDescent="0.25">
      <c r="A12">
        <f>GroupB[[#This Row],[Rank]]+COUNTIF($B$10:$B12,GroupB[[#This Row],[Rank]])-1</f>
        <v>3</v>
      </c>
      <c r="B12">
        <f>GroupB[[#This Row],[Rank2]]+GroupB[[#This Row],[GD3]]+GroupB[[#This Row],[Goals]]</f>
        <v>3</v>
      </c>
      <c r="C12" t="s">
        <v>23</v>
      </c>
      <c r="D12">
        <f>SUMPRODUCT((FixturesB[Team1]=GroupB[[#This Row],[Team]])*(FixturesB[Team1 Score]&lt;&gt;"")+(FixturesB[Team2]=GroupB[[#This Row],[Team]])*(FixturesB[Team2 Score]&lt;&gt;""))</f>
        <v>3</v>
      </c>
      <c r="E12">
        <f>SUMPRODUCT((FixturesB[Team1]=GroupB[[#This Row],[Team]])*(FixturesB[Team1 Score]&gt;FixturesB[Team2 Score])+(FixturesB[Team2]=GroupB[[#This Row],[Team]])*(FixturesB[Team2 Score]&gt;FixturesB[Team1 Score]))</f>
        <v>1</v>
      </c>
      <c r="F12">
        <f>SUMPRODUCT((FixturesB[Team1]=GroupB[[#This Row],[Team]])*(FixturesB[Team1 Score]&lt;FixturesB[Team2 Score])+(FixturesB[Team2]=GroupB[[#This Row],[Team]])*(FixturesB[Team2 Score]&lt;FixturesB[Team1 Score]))</f>
        <v>1</v>
      </c>
      <c r="G12">
        <f>SUMPRODUCT((FixturesB[Team1]=GroupB[[#This Row],[Team]])*(FixturesB[Team1 Score]=FixturesB[Team2 Score])*(FixturesB[Team1 Score]&lt;&gt;"")+(FixturesB[Team2]=GroupB[[#This Row],[Team]])*(FixturesB[Team2 Score]=FixturesB[Team1 Score])*(FixturesB[Team2 Score]&lt;&gt;""))</f>
        <v>1</v>
      </c>
      <c r="H12">
        <f>SUMPRODUCT((FixturesB[Team1]=GroupB[[#This Row],[Team]])*(FixturesB[Team1 Score])+(FixturesB[Team2]=GroupB[[#This Row],[Team]])*(FixturesB[Team2 Score]))</f>
        <v>3</v>
      </c>
      <c r="I12">
        <f>SUMPRODUCT((FixturesB[Team1]=GroupB[[#This Row],[Team]])*(FixturesB[Team2 Score])+(FixturesB[Team2]=GroupB[[#This Row],[Team]])*(FixturesB[Team1 Score]))</f>
        <v>3</v>
      </c>
      <c r="J12">
        <f>GroupB[[#This Row],[W]]*3+GroupB[[#This Row],[D]]*1</f>
        <v>4</v>
      </c>
      <c r="K12">
        <f>GroupB[[#This Row],[F]]-GroupB[[#This Row],[A]]</f>
        <v>0</v>
      </c>
      <c r="L12">
        <f t="shared" si="3"/>
        <v>3</v>
      </c>
      <c r="M12">
        <f t="shared" si="4"/>
        <v>0</v>
      </c>
      <c r="N12">
        <f t="shared" si="5"/>
        <v>0</v>
      </c>
    </row>
    <row r="13" spans="1:14" x14ac:dyDescent="0.25">
      <c r="A13">
        <f>GroupB[[#This Row],[Rank]]+COUNTIF($B$10:$B13,GroupB[[#This Row],[Rank]])-1</f>
        <v>1</v>
      </c>
      <c r="B13">
        <f>GroupB[[#This Row],[Rank2]]+GroupB[[#This Row],[GD3]]+GroupB[[#This Row],[Goals]]</f>
        <v>1</v>
      </c>
      <c r="C13" t="s">
        <v>52</v>
      </c>
      <c r="D13">
        <f>SUMPRODUCT((FixturesB[Team1]=GroupB[[#This Row],[Team]])*(FixturesB[Team1 Score]&lt;&gt;"")+(FixturesB[Team2]=GroupB[[#This Row],[Team]])*(FixturesB[Team2 Score]&lt;&gt;""))</f>
        <v>3</v>
      </c>
      <c r="E13">
        <f>SUMPRODUCT((FixturesB[Team1]=GroupB[[#This Row],[Team]])*(FixturesB[Team1 Score]&gt;FixturesB[Team2 Score])+(FixturesB[Team2]=GroupB[[#This Row],[Team]])*(FixturesB[Team2 Score]&gt;FixturesB[Team1 Score]))</f>
        <v>2</v>
      </c>
      <c r="F13">
        <f>SUMPRODUCT((FixturesB[Team1]=GroupB[[#This Row],[Team]])*(FixturesB[Team1 Score]&lt;FixturesB[Team2 Score])+(FixturesB[Team2]=GroupB[[#This Row],[Team]])*(FixturesB[Team2 Score]&lt;FixturesB[Team1 Score]))</f>
        <v>1</v>
      </c>
      <c r="G13">
        <f>SUMPRODUCT((FixturesB[Team1]=GroupB[[#This Row],[Team]])*(FixturesB[Team1 Score]=FixturesB[Team2 Score])*(FixturesB[Team1 Score]&lt;&gt;"")+(FixturesB[Team2]=GroupB[[#This Row],[Team]])*(FixturesB[Team2 Score]=FixturesB[Team1 Score])*(FixturesB[Team2 Score]&lt;&gt;""))</f>
        <v>0</v>
      </c>
      <c r="H13">
        <f>SUMPRODUCT((FixturesB[Team1]=GroupB[[#This Row],[Team]])*(FixturesB[Team1 Score])+(FixturesB[Team2]=GroupB[[#This Row],[Team]])*(FixturesB[Team2 Score]))</f>
        <v>6</v>
      </c>
      <c r="I13">
        <f>SUMPRODUCT((FixturesB[Team1]=GroupB[[#This Row],[Team]])*(FixturesB[Team2 Score])+(FixturesB[Team2]=GroupB[[#This Row],[Team]])*(FixturesB[Team1 Score]))</f>
        <v>3</v>
      </c>
      <c r="J13">
        <f>GroupB[[#This Row],[W]]*3+GroupB[[#This Row],[D]]*1</f>
        <v>6</v>
      </c>
      <c r="K13">
        <f>GroupB[[#This Row],[F]]-GroupB[[#This Row],[A]]</f>
        <v>3</v>
      </c>
      <c r="L13">
        <f t="shared" si="3"/>
        <v>1</v>
      </c>
      <c r="M13">
        <f t="shared" si="4"/>
        <v>0</v>
      </c>
      <c r="N13">
        <f t="shared" si="5"/>
        <v>0</v>
      </c>
    </row>
    <row r="15" spans="1:14" x14ac:dyDescent="0.25">
      <c r="A15" s="1" t="s">
        <v>16</v>
      </c>
    </row>
    <row r="16" spans="1:14" x14ac:dyDescent="0.25">
      <c r="A16" s="1" t="s">
        <v>87</v>
      </c>
      <c r="B16" s="1" t="s">
        <v>4</v>
      </c>
      <c r="C16" s="1" t="s">
        <v>5</v>
      </c>
      <c r="D16" s="1" t="s">
        <v>6</v>
      </c>
      <c r="E16" s="1" t="s">
        <v>7</v>
      </c>
      <c r="F16" s="1" t="s">
        <v>8</v>
      </c>
      <c r="G16" s="1" t="s">
        <v>9</v>
      </c>
      <c r="H16" s="1" t="s">
        <v>0</v>
      </c>
      <c r="I16" s="1" t="s">
        <v>1</v>
      </c>
      <c r="J16" s="1" t="s">
        <v>3</v>
      </c>
      <c r="K16" s="1" t="s">
        <v>47</v>
      </c>
      <c r="L16" s="1" t="s">
        <v>85</v>
      </c>
      <c r="M16" s="1" t="s">
        <v>86</v>
      </c>
      <c r="N16" s="1" t="s">
        <v>48</v>
      </c>
    </row>
    <row r="17" spans="1:14" x14ac:dyDescent="0.25">
      <c r="A17">
        <f>GroupC[[#This Row],[Rank]]+COUNTIF($B$17:$B17,GroupC[[#This Row],[Rank]])-1</f>
        <v>1</v>
      </c>
      <c r="B17">
        <f>GroupC[[#This Row],[Rank2]]+GroupC[[#This Row],[GD3]]+GroupC[[#This Row],[Goals]]</f>
        <v>1</v>
      </c>
      <c r="C17" t="s">
        <v>19</v>
      </c>
      <c r="D17">
        <f>SUMPRODUCT((FixturesC[Team1]=GroupC[[#This Row],[Team]])*(FixturesC[Team1 Score]&lt;&gt;"")+(FixturesC[Team2]=GroupC[[#This Row],[Team]])*(FixturesC[Team2 Score]&lt;&gt;""))</f>
        <v>3</v>
      </c>
      <c r="E17">
        <f>SUMPRODUCT((FixturesC[Team1]=GroupC[[#This Row],[Team]])*(FixturesC[Team1 Score]&gt;FixturesC[Team2 Score])+(FixturesC[Team2]=GroupC[[#This Row],[Team]])*(FixturesC[Team2 Score]&gt;FixturesC[Team1 Score]))</f>
        <v>2</v>
      </c>
      <c r="F17">
        <f>SUMPRODUCT((FixturesC[Team1]=GroupC[[#This Row],[Team]])*(FixturesC[Team1 Score]&lt;FixturesC[Team2 Score])+(FixturesC[Team2]=GroupC[[#This Row],[Team]])*(FixturesC[Team2 Score]&lt;FixturesC[Team1 Score]))</f>
        <v>0</v>
      </c>
      <c r="G17">
        <f>SUMPRODUCT((FixturesC[Team1]=GroupC[[#This Row],[Team]])*(FixturesC[Team1 Score]=FixturesC[Team2 Score])*(FixturesC[Team1 Score]&lt;&gt;"")+(FixturesC[Team2]=GroupC[[#This Row],[Team]])*(FixturesC[Team2 Score]=FixturesC[Team1 Score])*(FixturesC[Team2 Score]&lt;&gt;""))</f>
        <v>1</v>
      </c>
      <c r="H17">
        <f>SUMPRODUCT((FixturesC[Team1]=GroupC[[#This Row],[Team]])*(FixturesC[Team1 Score])+(FixturesC[Team2]=GroupC[[#This Row],[Team]])*(FixturesC[Team2 Score]))</f>
        <v>3</v>
      </c>
      <c r="I17">
        <f>SUMPRODUCT((FixturesC[Team1]=GroupC[[#This Row],[Team]])*(FixturesC[Team2 Score])+(FixturesC[Team2]=GroupC[[#This Row],[Team]])*(FixturesC[Team1 Score]))</f>
        <v>0</v>
      </c>
      <c r="J17">
        <f>GroupC[[#This Row],[W]]*3+GroupC[[#This Row],[D]]*1</f>
        <v>7</v>
      </c>
      <c r="K17">
        <f>GroupC[[#This Row],[F]]-GroupC[[#This Row],[A]]</f>
        <v>3</v>
      </c>
      <c r="L17">
        <f>RANK(J17,$J$17:$J$20)</f>
        <v>1</v>
      </c>
      <c r="M17">
        <f>SUMPRODUCT(($J$17:$J$20=J17)*($K$17:$K$20&gt;K17))</f>
        <v>0</v>
      </c>
      <c r="N17">
        <f>SUMPRODUCT(($J$17:$J$20=J17)*($K$17:$K$20=K17)*($H$17:$H$20&gt;H17))</f>
        <v>0</v>
      </c>
    </row>
    <row r="18" spans="1:14" x14ac:dyDescent="0.25">
      <c r="A18">
        <f>GroupC[[#This Row],[Rank]]+COUNTIF($B$17:$B18,GroupC[[#This Row],[Rank]])-1</f>
        <v>3</v>
      </c>
      <c r="B18">
        <f>GroupC[[#This Row],[Rank2]]+GroupC[[#This Row],[GD3]]+GroupC[[#This Row],[Goals]]</f>
        <v>3</v>
      </c>
      <c r="C18" t="s">
        <v>53</v>
      </c>
      <c r="D18">
        <f>SUMPRODUCT((FixturesC[Team1]=GroupC[[#This Row],[Team]])*(FixturesC[Team1 Score]&lt;&gt;"")+(FixturesC[Team2]=GroupC[[#This Row],[Team]])*(FixturesC[Team2 Score]&lt;&gt;""))</f>
        <v>3</v>
      </c>
      <c r="E18">
        <f>SUMPRODUCT((FixturesC[Team1]=GroupC[[#This Row],[Team]])*(FixturesC[Team1 Score]&gt;FixturesC[Team2 Score])+(FixturesC[Team2]=GroupC[[#This Row],[Team]])*(FixturesC[Team2 Score]&gt;FixturesC[Team1 Score]))</f>
        <v>1</v>
      </c>
      <c r="F18">
        <f>SUMPRODUCT((FixturesC[Team1]=GroupC[[#This Row],[Team]])*(FixturesC[Team1 Score]&lt;FixturesC[Team2 Score])+(FixturesC[Team2]=GroupC[[#This Row],[Team]])*(FixturesC[Team2 Score]&lt;FixturesC[Team1 Score]))</f>
        <v>2</v>
      </c>
      <c r="G18">
        <f>SUMPRODUCT((FixturesC[Team1]=GroupC[[#This Row],[Team]])*(FixturesC[Team1 Score]=FixturesC[Team2 Score])*(FixturesC[Team1 Score]&lt;&gt;"")+(FixturesC[Team2]=GroupC[[#This Row],[Team]])*(FixturesC[Team2 Score]=FixturesC[Team1 Score])*(FixturesC[Team2 Score]&lt;&gt;""))</f>
        <v>0</v>
      </c>
      <c r="H18">
        <f>SUMPRODUCT((FixturesC[Team1]=GroupC[[#This Row],[Team]])*(FixturesC[Team1 Score])+(FixturesC[Team2]=GroupC[[#This Row],[Team]])*(FixturesC[Team2 Score]))</f>
        <v>2</v>
      </c>
      <c r="I18">
        <f>SUMPRODUCT((FixturesC[Team1]=GroupC[[#This Row],[Team]])*(FixturesC[Team2 Score])+(FixturesC[Team2]=GroupC[[#This Row],[Team]])*(FixturesC[Team1 Score]))</f>
        <v>2</v>
      </c>
      <c r="J18">
        <f>GroupC[[#This Row],[W]]*3+GroupC[[#This Row],[D]]*1</f>
        <v>3</v>
      </c>
      <c r="K18">
        <f>GroupC[[#This Row],[F]]-GroupC[[#This Row],[A]]</f>
        <v>0</v>
      </c>
      <c r="L18">
        <f t="shared" ref="L18:L20" si="6">RANK(J18,$J$17:$J$20)</f>
        <v>3</v>
      </c>
      <c r="M18">
        <f t="shared" ref="M18:M20" si="7">SUMPRODUCT(($J$17:$J$20=J18)*($K$17:$K$20&gt;K18))</f>
        <v>0</v>
      </c>
      <c r="N18">
        <f t="shared" ref="N18:N20" si="8">SUMPRODUCT(($J$17:$J$20=J18)*($K$17:$K$20=K18)*($H$17:$H$20&gt;H18))</f>
        <v>0</v>
      </c>
    </row>
    <row r="19" spans="1:14" x14ac:dyDescent="0.25">
      <c r="A19">
        <f>GroupC[[#This Row],[Rank]]+COUNTIF($B$17:$B19,GroupC[[#This Row],[Rank]])-1</f>
        <v>2</v>
      </c>
      <c r="B19">
        <f>GroupC[[#This Row],[Rank2]]+GroupC[[#This Row],[GD3]]+GroupC[[#This Row],[Goals]]</f>
        <v>2</v>
      </c>
      <c r="C19" t="s">
        <v>54</v>
      </c>
      <c r="D19">
        <f>SUMPRODUCT((FixturesC[Team1]=GroupC[[#This Row],[Team]])*(FixturesC[Team1 Score]&lt;&gt;"")+(FixturesC[Team2]=GroupC[[#This Row],[Team]])*(FixturesC[Team2 Score]&lt;&gt;""))</f>
        <v>3</v>
      </c>
      <c r="E19">
        <f>SUMPRODUCT((FixturesC[Team1]=GroupC[[#This Row],[Team]])*(FixturesC[Team1 Score]&gt;FixturesC[Team2 Score])+(FixturesC[Team2]=GroupC[[#This Row],[Team]])*(FixturesC[Team2 Score]&gt;FixturesC[Team1 Score]))</f>
        <v>2</v>
      </c>
      <c r="F19">
        <f>SUMPRODUCT((FixturesC[Team1]=GroupC[[#This Row],[Team]])*(FixturesC[Team1 Score]&lt;FixturesC[Team2 Score])+(FixturesC[Team2]=GroupC[[#This Row],[Team]])*(FixturesC[Team2 Score]&lt;FixturesC[Team1 Score]))</f>
        <v>0</v>
      </c>
      <c r="G19">
        <f>SUMPRODUCT((FixturesC[Team1]=GroupC[[#This Row],[Team]])*(FixturesC[Team1 Score]=FixturesC[Team2 Score])*(FixturesC[Team1 Score]&lt;&gt;"")+(FixturesC[Team2]=GroupC[[#This Row],[Team]])*(FixturesC[Team2 Score]=FixturesC[Team1 Score])*(FixturesC[Team2 Score]&lt;&gt;""))</f>
        <v>1</v>
      </c>
      <c r="H19">
        <f>SUMPRODUCT((FixturesC[Team1]=GroupC[[#This Row],[Team]])*(FixturesC[Team1 Score])+(FixturesC[Team2]=GroupC[[#This Row],[Team]])*(FixturesC[Team2 Score]))</f>
        <v>2</v>
      </c>
      <c r="I19">
        <f>SUMPRODUCT((FixturesC[Team1]=GroupC[[#This Row],[Team]])*(FixturesC[Team2 Score])+(FixturesC[Team2]=GroupC[[#This Row],[Team]])*(FixturesC[Team1 Score]))</f>
        <v>0</v>
      </c>
      <c r="J19">
        <f>GroupC[[#This Row],[W]]*3+GroupC[[#This Row],[D]]*1</f>
        <v>7</v>
      </c>
      <c r="K19">
        <f>GroupC[[#This Row],[F]]-GroupC[[#This Row],[A]]</f>
        <v>2</v>
      </c>
      <c r="L19">
        <f t="shared" si="6"/>
        <v>1</v>
      </c>
      <c r="M19">
        <f t="shared" si="7"/>
        <v>1</v>
      </c>
      <c r="N19">
        <f t="shared" si="8"/>
        <v>0</v>
      </c>
    </row>
    <row r="20" spans="1:14" x14ac:dyDescent="0.25">
      <c r="A20">
        <f>GroupC[[#This Row],[Rank]]+COUNTIF($B$17:$B20,GroupC[[#This Row],[Rank]])-1</f>
        <v>4</v>
      </c>
      <c r="B20">
        <f>GroupC[[#This Row],[Rank2]]+GroupC[[#This Row],[GD3]]+GroupC[[#This Row],[Goals]]</f>
        <v>4</v>
      </c>
      <c r="C20" t="s">
        <v>55</v>
      </c>
      <c r="D20">
        <f>SUMPRODUCT((FixturesC[Team1]=GroupC[[#This Row],[Team]])*(FixturesC[Team1 Score]&lt;&gt;"")+(FixturesC[Team2]=GroupC[[#This Row],[Team]])*(FixturesC[Team2 Score]&lt;&gt;""))</f>
        <v>3</v>
      </c>
      <c r="E20">
        <f>SUMPRODUCT((FixturesC[Team1]=GroupC[[#This Row],[Team]])*(FixturesC[Team1 Score]&gt;FixturesC[Team2 Score])+(FixturesC[Team2]=GroupC[[#This Row],[Team]])*(FixturesC[Team2 Score]&gt;FixturesC[Team1 Score]))</f>
        <v>0</v>
      </c>
      <c r="F20">
        <f>SUMPRODUCT((FixturesC[Team1]=GroupC[[#This Row],[Team]])*(FixturesC[Team1 Score]&lt;FixturesC[Team2 Score])+(FixturesC[Team2]=GroupC[[#This Row],[Team]])*(FixturesC[Team2 Score]&lt;FixturesC[Team1 Score]))</f>
        <v>3</v>
      </c>
      <c r="G20">
        <f>SUMPRODUCT((FixturesC[Team1]=GroupC[[#This Row],[Team]])*(FixturesC[Team1 Score]=FixturesC[Team2 Score])*(FixturesC[Team1 Score]&lt;&gt;"")+(FixturesC[Team2]=GroupC[[#This Row],[Team]])*(FixturesC[Team2 Score]=FixturesC[Team1 Score])*(FixturesC[Team2 Score]&lt;&gt;""))</f>
        <v>0</v>
      </c>
      <c r="H20">
        <f>SUMPRODUCT((FixturesC[Team1]=GroupC[[#This Row],[Team]])*(FixturesC[Team1 Score])+(FixturesC[Team2]=GroupC[[#This Row],[Team]])*(FixturesC[Team2 Score]))</f>
        <v>0</v>
      </c>
      <c r="I20">
        <f>SUMPRODUCT((FixturesC[Team1]=GroupC[[#This Row],[Team]])*(FixturesC[Team2 Score])+(FixturesC[Team2]=GroupC[[#This Row],[Team]])*(FixturesC[Team1 Score]))</f>
        <v>5</v>
      </c>
      <c r="J20">
        <f>GroupC[[#This Row],[W]]*3+GroupC[[#This Row],[D]]*1</f>
        <v>0</v>
      </c>
      <c r="K20">
        <f>GroupC[[#This Row],[F]]-GroupC[[#This Row],[A]]</f>
        <v>-5</v>
      </c>
      <c r="L20">
        <f t="shared" si="6"/>
        <v>4</v>
      </c>
      <c r="M20">
        <f t="shared" si="7"/>
        <v>0</v>
      </c>
      <c r="N20">
        <f t="shared" si="8"/>
        <v>0</v>
      </c>
    </row>
    <row r="22" spans="1:14" x14ac:dyDescent="0.25">
      <c r="A22" s="1" t="s">
        <v>18</v>
      </c>
    </row>
    <row r="23" spans="1:14" x14ac:dyDescent="0.25">
      <c r="A23" s="1" t="s">
        <v>87</v>
      </c>
      <c r="B23" s="1" t="s">
        <v>4</v>
      </c>
      <c r="C23" s="1" t="s">
        <v>5</v>
      </c>
      <c r="D23" s="1" t="s">
        <v>6</v>
      </c>
      <c r="E23" s="1" t="s">
        <v>7</v>
      </c>
      <c r="F23" s="1" t="s">
        <v>8</v>
      </c>
      <c r="G23" s="1" t="s">
        <v>9</v>
      </c>
      <c r="H23" s="1" t="s">
        <v>0</v>
      </c>
      <c r="I23" s="1" t="s">
        <v>1</v>
      </c>
      <c r="J23" s="1" t="s">
        <v>3</v>
      </c>
      <c r="K23" s="1" t="s">
        <v>47</v>
      </c>
      <c r="L23" s="1" t="s">
        <v>85</v>
      </c>
      <c r="M23" s="1" t="s">
        <v>86</v>
      </c>
      <c r="N23" s="1" t="s">
        <v>48</v>
      </c>
    </row>
    <row r="24" spans="1:14" x14ac:dyDescent="0.25">
      <c r="A24">
        <f>GroupD[[#This Row],[Rank]]+COUNTIF($B$24:$B24,GroupD[[#This Row],[Rank]])-1</f>
        <v>1</v>
      </c>
      <c r="B24">
        <f>GroupD[[#This Row],[Rank2]]+GroupD[[#This Row],[GD3]]+GroupD[[#This Row],[Goals]]</f>
        <v>1</v>
      </c>
      <c r="C24" t="s">
        <v>56</v>
      </c>
      <c r="D24">
        <f>SUMPRODUCT((FixturesD[Team1]=GroupD[[#This Row],[Team]])*(FixturesD[Team1 Score]&lt;&gt;"")+(FixturesD[Team2]=GroupD[[#This Row],[Team]])*(FixturesD[Team2 Score]&lt;&gt;""))</f>
        <v>3</v>
      </c>
      <c r="E24">
        <f>SUMPRODUCT((FixturesD[Team1]=GroupD[[#This Row],[Team]])*(FixturesD[Team1 Score]&gt;FixturesD[Team2 Score])+(FixturesD[Team2]=GroupD[[#This Row],[Team]])*(FixturesD[Team2 Score]&gt;FixturesD[Team1 Score]))</f>
        <v>2</v>
      </c>
      <c r="F24">
        <f>SUMPRODUCT((FixturesD[Team1]=GroupD[[#This Row],[Team]])*(FixturesD[Team1 Score]&lt;FixturesD[Team2 Score])+(FixturesD[Team2]=GroupD[[#This Row],[Team]])*(FixturesD[Team2 Score]&lt;FixturesD[Team1 Score]))</f>
        <v>0</v>
      </c>
      <c r="G24">
        <f>SUMPRODUCT((FixturesD[Team1]=GroupD[[#This Row],[Team]])*(FixturesD[Team1 Score]=FixturesD[Team2 Score])*(FixturesD[Team1 Score]&lt;&gt;"")+(FixturesD[Team2]=GroupD[[#This Row],[Team]])*(FixturesD[Team2 Score]=FixturesD[Team1 Score])*(FixturesD[Team2 Score]&lt;&gt;""))</f>
        <v>1</v>
      </c>
      <c r="H24">
        <f>SUMPRODUCT((FixturesD[Team1]=GroupD[[#This Row],[Team]])*(FixturesD[Team1 Score])+(FixturesD[Team2]=GroupD[[#This Row],[Team]])*(FixturesD[Team2 Score]))</f>
        <v>5</v>
      </c>
      <c r="I24">
        <f>SUMPRODUCT((FixturesD[Team1]=GroupD[[#This Row],[Team]])*(FixturesD[Team2 Score])+(FixturesD[Team2]=GroupD[[#This Row],[Team]])*(FixturesD[Team1 Score]))</f>
        <v>3</v>
      </c>
      <c r="J24">
        <f>GroupD[[#This Row],[W]]*3+GroupD[[#This Row],[D]]*1</f>
        <v>7</v>
      </c>
      <c r="K24">
        <f>GroupD[[#This Row],[F]]-GroupD[[#This Row],[A]]</f>
        <v>2</v>
      </c>
      <c r="L24">
        <f>RANK(J24,$J$24:$J$27)</f>
        <v>1</v>
      </c>
      <c r="M24">
        <f>SUMPRODUCT(($J$24:$J$27=J24)*($K$24:$K$27&gt;K24))</f>
        <v>0</v>
      </c>
      <c r="N24">
        <f>SUMPRODUCT(($J$24:$J$27=J24)*($K$24:$K$27=K24)*($H$24:$H$27&gt;H24))</f>
        <v>0</v>
      </c>
    </row>
    <row r="25" spans="1:14" x14ac:dyDescent="0.25">
      <c r="A25">
        <f>GroupD[[#This Row],[Rank]]+COUNTIF($B$24:$B25,GroupD[[#This Row],[Rank]])-1</f>
        <v>4</v>
      </c>
      <c r="B25">
        <f>GroupD[[#This Row],[Rank2]]+GroupD[[#This Row],[GD3]]+GroupD[[#This Row],[Goals]]</f>
        <v>4</v>
      </c>
      <c r="C25" t="s">
        <v>57</v>
      </c>
      <c r="D25">
        <f>SUMPRODUCT((FixturesD[Team1]=GroupD[[#This Row],[Team]])*(FixturesD[Team1 Score]&lt;&gt;"")+(FixturesD[Team2]=GroupD[[#This Row],[Team]])*(FixturesD[Team2 Score]&lt;&gt;""))</f>
        <v>3</v>
      </c>
      <c r="E25">
        <f>SUMPRODUCT((FixturesD[Team1]=GroupD[[#This Row],[Team]])*(FixturesD[Team1 Score]&gt;FixturesD[Team2 Score])+(FixturesD[Team2]=GroupD[[#This Row],[Team]])*(FixturesD[Team2 Score]&gt;FixturesD[Team1 Score]))</f>
        <v>0</v>
      </c>
      <c r="F25">
        <f>SUMPRODUCT((FixturesD[Team1]=GroupD[[#This Row],[Team]])*(FixturesD[Team1 Score]&lt;FixturesD[Team2 Score])+(FixturesD[Team2]=GroupD[[#This Row],[Team]])*(FixturesD[Team2 Score]&lt;FixturesD[Team1 Score]))</f>
        <v>2</v>
      </c>
      <c r="G25">
        <f>SUMPRODUCT((FixturesD[Team1]=GroupD[[#This Row],[Team]])*(FixturesD[Team1 Score]=FixturesD[Team2 Score])*(FixturesD[Team1 Score]&lt;&gt;"")+(FixturesD[Team2]=GroupD[[#This Row],[Team]])*(FixturesD[Team2 Score]=FixturesD[Team1 Score])*(FixturesD[Team2 Score]&lt;&gt;""))</f>
        <v>1</v>
      </c>
      <c r="H25">
        <f>SUMPRODUCT((FixturesD[Team1]=GroupD[[#This Row],[Team]])*(FixturesD[Team1 Score])+(FixturesD[Team2]=GroupD[[#This Row],[Team]])*(FixturesD[Team2 Score]))</f>
        <v>2</v>
      </c>
      <c r="I25">
        <f>SUMPRODUCT((FixturesD[Team1]=GroupD[[#This Row],[Team]])*(FixturesD[Team2 Score])+(FixturesD[Team2]=GroupD[[#This Row],[Team]])*(FixturesD[Team1 Score]))</f>
        <v>5</v>
      </c>
      <c r="J25">
        <f>GroupD[[#This Row],[W]]*3+GroupD[[#This Row],[D]]*1</f>
        <v>1</v>
      </c>
      <c r="K25">
        <f>GroupD[[#This Row],[F]]-GroupD[[#This Row],[A]]</f>
        <v>-3</v>
      </c>
      <c r="L25">
        <f t="shared" ref="L25:L27" si="9">RANK(J25,$J$24:$J$27)</f>
        <v>4</v>
      </c>
      <c r="M25">
        <f t="shared" ref="M25:M27" si="10">SUMPRODUCT(($J$24:$J$27=J25)*($K$24:$K$27&gt;K25))</f>
        <v>0</v>
      </c>
      <c r="N25">
        <f t="shared" ref="N25:N27" si="11">SUMPRODUCT(($J$24:$J$27=J25)*($K$24:$K$27=K25)*($H$24:$H$27&gt;H25))</f>
        <v>0</v>
      </c>
    </row>
    <row r="26" spans="1:14" x14ac:dyDescent="0.25">
      <c r="A26">
        <f>GroupD[[#This Row],[Rank]]+COUNTIF($B$24:$B26,GroupD[[#This Row],[Rank]])-1</f>
        <v>2</v>
      </c>
      <c r="B26">
        <f>GroupD[[#This Row],[Rank2]]+GroupD[[#This Row],[GD3]]+GroupD[[#This Row],[Goals]]</f>
        <v>2</v>
      </c>
      <c r="C26" t="s">
        <v>25</v>
      </c>
      <c r="D26">
        <f>SUMPRODUCT((FixturesD[Team1]=GroupD[[#This Row],[Team]])*(FixturesD[Team1 Score]&lt;&gt;"")+(FixturesD[Team2]=GroupD[[#This Row],[Team]])*(FixturesD[Team2 Score]&lt;&gt;""))</f>
        <v>3</v>
      </c>
      <c r="E26">
        <f>SUMPRODUCT((FixturesD[Team1]=GroupD[[#This Row],[Team]])*(FixturesD[Team1 Score]&gt;FixturesD[Team2 Score])+(FixturesD[Team2]=GroupD[[#This Row],[Team]])*(FixturesD[Team2 Score]&gt;FixturesD[Team1 Score]))</f>
        <v>2</v>
      </c>
      <c r="F26">
        <f>SUMPRODUCT((FixturesD[Team1]=GroupD[[#This Row],[Team]])*(FixturesD[Team1 Score]&lt;FixturesD[Team2 Score])+(FixturesD[Team2]=GroupD[[#This Row],[Team]])*(FixturesD[Team2 Score]&lt;FixturesD[Team1 Score]))</f>
        <v>1</v>
      </c>
      <c r="G26">
        <f>SUMPRODUCT((FixturesD[Team1]=GroupD[[#This Row],[Team]])*(FixturesD[Team1 Score]=FixturesD[Team2 Score])*(FixturesD[Team1 Score]&lt;&gt;"")+(FixturesD[Team2]=GroupD[[#This Row],[Team]])*(FixturesD[Team2 Score]=FixturesD[Team1 Score])*(FixturesD[Team2 Score]&lt;&gt;""))</f>
        <v>0</v>
      </c>
      <c r="H26">
        <f>SUMPRODUCT((FixturesD[Team1]=GroupD[[#This Row],[Team]])*(FixturesD[Team1 Score])+(FixturesD[Team2]=GroupD[[#This Row],[Team]])*(FixturesD[Team2 Score]))</f>
        <v>5</v>
      </c>
      <c r="I26">
        <f>SUMPRODUCT((FixturesD[Team1]=GroupD[[#This Row],[Team]])*(FixturesD[Team2 Score])+(FixturesD[Team2]=GroupD[[#This Row],[Team]])*(FixturesD[Team1 Score]))</f>
        <v>2</v>
      </c>
      <c r="J26">
        <f>GroupD[[#This Row],[W]]*3+GroupD[[#This Row],[D]]*1</f>
        <v>6</v>
      </c>
      <c r="K26">
        <f>GroupD[[#This Row],[F]]-GroupD[[#This Row],[A]]</f>
        <v>3</v>
      </c>
      <c r="L26">
        <f t="shared" si="9"/>
        <v>2</v>
      </c>
      <c r="M26">
        <f t="shared" si="10"/>
        <v>0</v>
      </c>
      <c r="N26">
        <f t="shared" si="11"/>
        <v>0</v>
      </c>
    </row>
    <row r="27" spans="1:14" x14ac:dyDescent="0.25">
      <c r="A27">
        <f>GroupD[[#This Row],[Rank]]+COUNTIF($B$24:$B27,GroupD[[#This Row],[Rank]])-1</f>
        <v>3</v>
      </c>
      <c r="B27">
        <f>GroupD[[#This Row],[Rank2]]+GroupD[[#This Row],[GD3]]+GroupD[[#This Row],[Goals]]</f>
        <v>3</v>
      </c>
      <c r="C27" t="s">
        <v>58</v>
      </c>
      <c r="D27">
        <f>SUMPRODUCT((FixturesD[Team1]=GroupD[[#This Row],[Team]])*(FixturesD[Team1 Score]&lt;&gt;"")+(FixturesD[Team2]=GroupD[[#This Row],[Team]])*(FixturesD[Team2 Score]&lt;&gt;""))</f>
        <v>3</v>
      </c>
      <c r="E27">
        <f>SUMPRODUCT((FixturesD[Team1]=GroupD[[#This Row],[Team]])*(FixturesD[Team1 Score]&gt;FixturesD[Team2 Score])+(FixturesD[Team2]=GroupD[[#This Row],[Team]])*(FixturesD[Team2 Score]&gt;FixturesD[Team1 Score]))</f>
        <v>1</v>
      </c>
      <c r="F27">
        <f>SUMPRODUCT((FixturesD[Team1]=GroupD[[#This Row],[Team]])*(FixturesD[Team1 Score]&lt;FixturesD[Team2 Score])+(FixturesD[Team2]=GroupD[[#This Row],[Team]])*(FixturesD[Team2 Score]&lt;FixturesD[Team1 Score]))</f>
        <v>2</v>
      </c>
      <c r="G27">
        <f>SUMPRODUCT((FixturesD[Team1]=GroupD[[#This Row],[Team]])*(FixturesD[Team1 Score]=FixturesD[Team2 Score])*(FixturesD[Team1 Score]&lt;&gt;"")+(FixturesD[Team2]=GroupD[[#This Row],[Team]])*(FixturesD[Team2 Score]=FixturesD[Team1 Score])*(FixturesD[Team2 Score]&lt;&gt;""))</f>
        <v>0</v>
      </c>
      <c r="H27">
        <f>SUMPRODUCT((FixturesD[Team1]=GroupD[[#This Row],[Team]])*(FixturesD[Team1 Score])+(FixturesD[Team2]=GroupD[[#This Row],[Team]])*(FixturesD[Team2 Score]))</f>
        <v>2</v>
      </c>
      <c r="I27">
        <f>SUMPRODUCT((FixturesD[Team1]=GroupD[[#This Row],[Team]])*(FixturesD[Team2 Score])+(FixturesD[Team2]=GroupD[[#This Row],[Team]])*(FixturesD[Team1 Score]))</f>
        <v>4</v>
      </c>
      <c r="J27">
        <f>GroupD[[#This Row],[W]]*3+GroupD[[#This Row],[D]]*1</f>
        <v>3</v>
      </c>
      <c r="K27">
        <f>GroupD[[#This Row],[F]]-GroupD[[#This Row],[A]]</f>
        <v>-2</v>
      </c>
      <c r="L27">
        <f t="shared" si="9"/>
        <v>3</v>
      </c>
      <c r="M27">
        <f t="shared" si="10"/>
        <v>0</v>
      </c>
      <c r="N27">
        <f t="shared" si="11"/>
        <v>0</v>
      </c>
    </row>
    <row r="29" spans="1:14" x14ac:dyDescent="0.25">
      <c r="A29" s="1" t="s">
        <v>20</v>
      </c>
    </row>
    <row r="30" spans="1:14" x14ac:dyDescent="0.25">
      <c r="A30" s="1" t="s">
        <v>87</v>
      </c>
      <c r="B30" s="1" t="s">
        <v>4</v>
      </c>
      <c r="C30" s="1" t="s">
        <v>5</v>
      </c>
      <c r="D30" s="1" t="s">
        <v>6</v>
      </c>
      <c r="E30" s="1" t="s">
        <v>7</v>
      </c>
      <c r="F30" s="1" t="s">
        <v>8</v>
      </c>
      <c r="G30" s="1" t="s">
        <v>9</v>
      </c>
      <c r="H30" s="1" t="s">
        <v>0</v>
      </c>
      <c r="I30" s="1" t="s">
        <v>1</v>
      </c>
      <c r="J30" s="1" t="s">
        <v>3</v>
      </c>
      <c r="K30" s="1" t="s">
        <v>47</v>
      </c>
      <c r="L30" s="1" t="s">
        <v>85</v>
      </c>
      <c r="M30" s="1" t="s">
        <v>86</v>
      </c>
      <c r="N30" s="1" t="s">
        <v>48</v>
      </c>
    </row>
    <row r="31" spans="1:14" x14ac:dyDescent="0.25">
      <c r="A31">
        <f>GroupE[[#This Row],[Rank]]+COUNTIF($B$31:$B31,GroupE[[#This Row],[Rank]])-1</f>
        <v>1</v>
      </c>
      <c r="B31">
        <f>GroupE[[#This Row],[Rank2]]+GroupE[[#This Row],[GD3]]+GroupE[[#This Row],[Goals]]</f>
        <v>1</v>
      </c>
      <c r="C31" t="s">
        <v>59</v>
      </c>
      <c r="D31">
        <f>SUMPRODUCT((FixturesE[Team1]=GroupE[[#This Row],[Team]])*(FixturesE[Team1 Score]&lt;&gt;"")+(FixturesE[Team2]=GroupE[[#This Row],[Team]])*(FixturesE[Team2 Score]&lt;&gt;""))</f>
        <v>3</v>
      </c>
      <c r="E31">
        <f>SUMPRODUCT((FixturesE[Team1]=GroupE[[#This Row],[Team]])*(FixturesE[Team1 Score]&gt;FixturesE[Team2 Score])+(FixturesE[Team2]=GroupE[[#This Row],[Team]])*(FixturesE[Team2 Score]&gt;FixturesE[Team1 Score]))</f>
        <v>2</v>
      </c>
      <c r="F31">
        <f>SUMPRODUCT((FixturesE[Team1]=GroupE[[#This Row],[Team]])*(FixturesE[Team1 Score]&lt;FixturesE[Team2 Score])+(FixturesE[Team2]=GroupE[[#This Row],[Team]])*(FixturesE[Team2 Score]&lt;FixturesE[Team1 Score]))</f>
        <v>1</v>
      </c>
      <c r="G31">
        <f>SUMPRODUCT((FixturesE[Team1]=GroupE[[#This Row],[Team]])*(FixturesE[Team1 Score]=FixturesE[Team2 Score])*(FixturesE[Team1 Score]&lt;&gt;"")+(FixturesE[Team2]=GroupE[[#This Row],[Team]])*(FixturesE[Team2 Score]=FixturesE[Team1 Score])*(FixturesE[Team2 Score]&lt;&gt;""))</f>
        <v>0</v>
      </c>
      <c r="H31">
        <f>SUMPRODUCT((FixturesE[Team1]=GroupE[[#This Row],[Team]])*(FixturesE[Team1 Score])+(FixturesE[Team2]=GroupE[[#This Row],[Team]])*(FixturesE[Team2 Score]))</f>
        <v>4</v>
      </c>
      <c r="I31">
        <f>SUMPRODUCT((FixturesE[Team1]=GroupE[[#This Row],[Team]])*(FixturesE[Team2 Score])+(FixturesE[Team2]=GroupE[[#This Row],[Team]])*(FixturesE[Team1 Score]))</f>
        <v>2</v>
      </c>
      <c r="J31">
        <f>GroupE[[#This Row],[W]]*3+GroupE[[#This Row],[D]]*1</f>
        <v>6</v>
      </c>
      <c r="K31">
        <f>GroupE[[#This Row],[F]]-GroupE[[#This Row],[A]]</f>
        <v>2</v>
      </c>
      <c r="L31">
        <f>RANK(J31,$J$31:$J$34)</f>
        <v>1</v>
      </c>
      <c r="M31">
        <f>SUMPRODUCT(($J$31:$J$34=J31)*($K$31:$K$34&gt;K31))</f>
        <v>0</v>
      </c>
      <c r="N31">
        <f>SUMPRODUCT(($J$31:$J$34=J31)*($K$31:$K$34=K31)*($H$31:$H$34&gt;H31))</f>
        <v>0</v>
      </c>
    </row>
    <row r="32" spans="1:14" x14ac:dyDescent="0.25">
      <c r="A32">
        <f>GroupE[[#This Row],[Rank]]+COUNTIF($B$31:$B32,GroupE[[#This Row],[Rank]])-1</f>
        <v>2</v>
      </c>
      <c r="B32">
        <f>GroupE[[#This Row],[Rank2]]+GroupE[[#This Row],[GD3]]+GroupE[[#This Row],[Goals]]</f>
        <v>2</v>
      </c>
      <c r="C32" t="s">
        <v>22</v>
      </c>
      <c r="D32">
        <f>SUMPRODUCT((FixturesE[Team1]=GroupE[[#This Row],[Team]])*(FixturesE[Team1 Score]&lt;&gt;"")+(FixturesE[Team2]=GroupE[[#This Row],[Team]])*(FixturesE[Team2 Score]&lt;&gt;""))</f>
        <v>3</v>
      </c>
      <c r="E32">
        <f>SUMPRODUCT((FixturesE[Team1]=GroupE[[#This Row],[Team]])*(FixturesE[Team1 Score]&gt;FixturesE[Team2 Score])+(FixturesE[Team2]=GroupE[[#This Row],[Team]])*(FixturesE[Team2 Score]&gt;FixturesE[Team1 Score]))</f>
        <v>2</v>
      </c>
      <c r="F32">
        <f>SUMPRODUCT((FixturesE[Team1]=GroupE[[#This Row],[Team]])*(FixturesE[Team1 Score]&lt;FixturesE[Team2 Score])+(FixturesE[Team2]=GroupE[[#This Row],[Team]])*(FixturesE[Team2 Score]&lt;FixturesE[Team1 Score]))</f>
        <v>1</v>
      </c>
      <c r="G32">
        <f>SUMPRODUCT((FixturesE[Team1]=GroupE[[#This Row],[Team]])*(FixturesE[Team1 Score]=FixturesE[Team2 Score])*(FixturesE[Team1 Score]&lt;&gt;"")+(FixturesE[Team2]=GroupE[[#This Row],[Team]])*(FixturesE[Team2 Score]=FixturesE[Team1 Score])*(FixturesE[Team2 Score]&lt;&gt;""))</f>
        <v>0</v>
      </c>
      <c r="H32">
        <f>SUMPRODUCT((FixturesE[Team1]=GroupE[[#This Row],[Team]])*(FixturesE[Team1 Score])+(FixturesE[Team2]=GroupE[[#This Row],[Team]])*(FixturesE[Team2 Score]))</f>
        <v>3</v>
      </c>
      <c r="I32">
        <f>SUMPRODUCT((FixturesE[Team1]=GroupE[[#This Row],[Team]])*(FixturesE[Team2 Score])+(FixturesE[Team2]=GroupE[[#This Row],[Team]])*(FixturesE[Team1 Score]))</f>
        <v>1</v>
      </c>
      <c r="J32">
        <f>GroupE[[#This Row],[W]]*3+GroupE[[#This Row],[D]]*1</f>
        <v>6</v>
      </c>
      <c r="K32">
        <f>GroupE[[#This Row],[F]]-GroupE[[#This Row],[A]]</f>
        <v>2</v>
      </c>
      <c r="L32">
        <f t="shared" ref="L32:L34" si="12">RANK(J32,$J$31:$J$34)</f>
        <v>1</v>
      </c>
      <c r="M32">
        <f t="shared" ref="M32:M34" si="13">SUMPRODUCT(($J$31:$J$34=J32)*($K$31:$K$34&gt;K32))</f>
        <v>0</v>
      </c>
      <c r="N32">
        <f t="shared" ref="N32:N34" si="14">SUMPRODUCT(($J$31:$J$34=J32)*($K$31:$K$34=K32)*($H$31:$H$34&gt;H32))</f>
        <v>1</v>
      </c>
    </row>
    <row r="33" spans="1:14" x14ac:dyDescent="0.25">
      <c r="A33">
        <f>GroupE[[#This Row],[Rank]]+COUNTIF($B$31:$B33,GroupE[[#This Row],[Rank]])-1</f>
        <v>3</v>
      </c>
      <c r="B33">
        <f>GroupE[[#This Row],[Rank2]]+GroupE[[#This Row],[GD3]]+GroupE[[#This Row],[Goals]]</f>
        <v>3</v>
      </c>
      <c r="C33" t="s">
        <v>61</v>
      </c>
      <c r="D33">
        <f>SUMPRODUCT((FixturesE[Team1]=GroupE[[#This Row],[Team]])*(FixturesE[Team1 Score]&lt;&gt;"")+(FixturesE[Team2]=GroupE[[#This Row],[Team]])*(FixturesE[Team2 Score]&lt;&gt;""))</f>
        <v>3</v>
      </c>
      <c r="E33">
        <f>SUMPRODUCT((FixturesE[Team1]=GroupE[[#This Row],[Team]])*(FixturesE[Team1 Score]&gt;FixturesE[Team2 Score])+(FixturesE[Team2]=GroupE[[#This Row],[Team]])*(FixturesE[Team2 Score]&gt;FixturesE[Team1 Score]))</f>
        <v>1</v>
      </c>
      <c r="F33">
        <f>SUMPRODUCT((FixturesE[Team1]=GroupE[[#This Row],[Team]])*(FixturesE[Team1 Score]&lt;FixturesE[Team2 Score])+(FixturesE[Team2]=GroupE[[#This Row],[Team]])*(FixturesE[Team2 Score]&lt;FixturesE[Team1 Score]))</f>
        <v>1</v>
      </c>
      <c r="G33">
        <f>SUMPRODUCT((FixturesE[Team1]=GroupE[[#This Row],[Team]])*(FixturesE[Team1 Score]=FixturesE[Team2 Score])*(FixturesE[Team1 Score]&lt;&gt;"")+(FixturesE[Team2]=GroupE[[#This Row],[Team]])*(FixturesE[Team2 Score]=FixturesE[Team1 Score])*(FixturesE[Team2 Score]&lt;&gt;""))</f>
        <v>1</v>
      </c>
      <c r="H33">
        <f>SUMPRODUCT((FixturesE[Team1]=GroupE[[#This Row],[Team]])*(FixturesE[Team1 Score])+(FixturesE[Team2]=GroupE[[#This Row],[Team]])*(FixturesE[Team2 Score]))</f>
        <v>2</v>
      </c>
      <c r="I33">
        <f>SUMPRODUCT((FixturesE[Team1]=GroupE[[#This Row],[Team]])*(FixturesE[Team2 Score])+(FixturesE[Team2]=GroupE[[#This Row],[Team]])*(FixturesE[Team1 Score]))</f>
        <v>4</v>
      </c>
      <c r="J33">
        <f>GroupE[[#This Row],[W]]*3+GroupE[[#This Row],[D]]*1</f>
        <v>4</v>
      </c>
      <c r="K33">
        <f>GroupE[[#This Row],[F]]-GroupE[[#This Row],[A]]</f>
        <v>-2</v>
      </c>
      <c r="L33">
        <f t="shared" si="12"/>
        <v>3</v>
      </c>
      <c r="M33">
        <f t="shared" si="13"/>
        <v>0</v>
      </c>
      <c r="N33">
        <f t="shared" si="14"/>
        <v>0</v>
      </c>
    </row>
    <row r="34" spans="1:14" x14ac:dyDescent="0.25">
      <c r="A34">
        <f>GroupE[[#This Row],[Rank]]+COUNTIF($B$31:$B34,GroupE[[#This Row],[Rank]])-1</f>
        <v>4</v>
      </c>
      <c r="B34">
        <f>GroupE[[#This Row],[Rank2]]+GroupE[[#This Row],[GD3]]+GroupE[[#This Row],[Goals]]</f>
        <v>4</v>
      </c>
      <c r="C34" t="s">
        <v>60</v>
      </c>
      <c r="D34">
        <f>SUMPRODUCT((FixturesE[Team1]=GroupE[[#This Row],[Team]])*(FixturesE[Team1 Score]&lt;&gt;"")+(FixturesE[Team2]=GroupE[[#This Row],[Team]])*(FixturesE[Team2 Score]&lt;&gt;""))</f>
        <v>3</v>
      </c>
      <c r="E34">
        <f>SUMPRODUCT((FixturesE[Team1]=GroupE[[#This Row],[Team]])*(FixturesE[Team1 Score]&gt;FixturesE[Team2 Score])+(FixturesE[Team2]=GroupE[[#This Row],[Team]])*(FixturesE[Team2 Score]&gt;FixturesE[Team1 Score]))</f>
        <v>0</v>
      </c>
      <c r="F34">
        <f>SUMPRODUCT((FixturesE[Team1]=GroupE[[#This Row],[Team]])*(FixturesE[Team1 Score]&lt;FixturesE[Team2 Score])+(FixturesE[Team2]=GroupE[[#This Row],[Team]])*(FixturesE[Team2 Score]&lt;FixturesE[Team1 Score]))</f>
        <v>2</v>
      </c>
      <c r="G34">
        <f>SUMPRODUCT((FixturesE[Team1]=GroupE[[#This Row],[Team]])*(FixturesE[Team1 Score]=FixturesE[Team2 Score])*(FixturesE[Team1 Score]&lt;&gt;"")+(FixturesE[Team2]=GroupE[[#This Row],[Team]])*(FixturesE[Team2 Score]=FixturesE[Team1 Score])*(FixturesE[Team2 Score]&lt;&gt;""))</f>
        <v>1</v>
      </c>
      <c r="H34">
        <f>SUMPRODUCT((FixturesE[Team1]=GroupE[[#This Row],[Team]])*(FixturesE[Team1 Score])+(FixturesE[Team2]=GroupE[[#This Row],[Team]])*(FixturesE[Team2 Score]))</f>
        <v>1</v>
      </c>
      <c r="I34">
        <f>SUMPRODUCT((FixturesE[Team1]=GroupE[[#This Row],[Team]])*(FixturesE[Team2 Score])+(FixturesE[Team2]=GroupE[[#This Row],[Team]])*(FixturesE[Team1 Score]))</f>
        <v>3</v>
      </c>
      <c r="J34">
        <f>GroupE[[#This Row],[W]]*3+GroupE[[#This Row],[D]]*1</f>
        <v>1</v>
      </c>
      <c r="K34">
        <f>GroupE[[#This Row],[F]]-GroupE[[#This Row],[A]]</f>
        <v>-2</v>
      </c>
      <c r="L34">
        <f t="shared" si="12"/>
        <v>4</v>
      </c>
      <c r="M34">
        <f t="shared" si="13"/>
        <v>0</v>
      </c>
      <c r="N34">
        <f t="shared" si="14"/>
        <v>0</v>
      </c>
    </row>
    <row r="36" spans="1:14" x14ac:dyDescent="0.25">
      <c r="A36" s="1" t="s">
        <v>21</v>
      </c>
    </row>
    <row r="37" spans="1:14" x14ac:dyDescent="0.25">
      <c r="A37" s="1" t="s">
        <v>87</v>
      </c>
      <c r="B37" s="1" t="s">
        <v>4</v>
      </c>
      <c r="C37" s="1" t="s">
        <v>5</v>
      </c>
      <c r="D37" s="1" t="s">
        <v>6</v>
      </c>
      <c r="E37" s="1" t="s">
        <v>7</v>
      </c>
      <c r="F37" s="1" t="s">
        <v>8</v>
      </c>
      <c r="G37" s="1" t="s">
        <v>9</v>
      </c>
      <c r="H37" s="1" t="s">
        <v>0</v>
      </c>
      <c r="I37" s="1" t="s">
        <v>1</v>
      </c>
      <c r="J37" s="1" t="s">
        <v>3</v>
      </c>
      <c r="K37" s="1" t="s">
        <v>47</v>
      </c>
      <c r="L37" s="1" t="s">
        <v>85</v>
      </c>
      <c r="M37" s="1" t="s">
        <v>86</v>
      </c>
      <c r="N37" s="1" t="s">
        <v>48</v>
      </c>
    </row>
    <row r="38" spans="1:14" x14ac:dyDescent="0.25">
      <c r="A38">
        <f>GroupF[[#This Row],[Rank]]+COUNTIF($B$38:$B38,GroupF[[#This Row],[Rank]])-1</f>
        <v>4</v>
      </c>
      <c r="B38">
        <f>GroupF[[#This Row],[Rank2]]+GroupF[[#This Row],[GD3]]+GroupF[[#This Row],[Goals]]</f>
        <v>4</v>
      </c>
      <c r="C38" t="s">
        <v>62</v>
      </c>
      <c r="D38">
        <f>SUMPRODUCT((FixturesF[Team1]=GroupF[[#This Row],[Team]])*(FixturesF[Team1 Score]&lt;&gt;"")+(FixturesF[Team2]=GroupF[[#This Row],[Team]])*(FixturesF[Team2 Score]&lt;&gt;""))</f>
        <v>3</v>
      </c>
      <c r="E38">
        <f>SUMPRODUCT((FixturesF[Team1]=GroupF[[#This Row],[Team]])*(FixturesF[Team1 Score]&gt;FixturesF[Team2 Score])+(FixturesF[Team2]=GroupF[[#This Row],[Team]])*(FixturesF[Team2 Score]&gt;FixturesF[Team1 Score]))</f>
        <v>0</v>
      </c>
      <c r="F38">
        <f>SUMPRODUCT((FixturesF[Team1]=GroupF[[#This Row],[Team]])*(FixturesF[Team1 Score]&lt;FixturesF[Team2 Score])+(FixturesF[Team2]=GroupF[[#This Row],[Team]])*(FixturesF[Team2 Score]&lt;FixturesF[Team1 Score]))</f>
        <v>2</v>
      </c>
      <c r="G38">
        <f>SUMPRODUCT((FixturesF[Team1]=GroupF[[#This Row],[Team]])*(FixturesF[Team1 Score]=FixturesF[Team2 Score])*(FixturesF[Team1 Score]&lt;&gt;"")+(FixturesF[Team2]=GroupF[[#This Row],[Team]])*(FixturesF[Team2 Score]=FixturesF[Team1 Score])*(FixturesF[Team2 Score]&lt;&gt;""))</f>
        <v>1</v>
      </c>
      <c r="H38">
        <f>SUMPRODUCT((FixturesF[Team1]=GroupF[[#This Row],[Team]])*(FixturesF[Team1 Score])+(FixturesF[Team2]=GroupF[[#This Row],[Team]])*(FixturesF[Team2 Score]))</f>
        <v>1</v>
      </c>
      <c r="I38">
        <f>SUMPRODUCT((FixturesF[Team1]=GroupF[[#This Row],[Team]])*(FixturesF[Team2 Score])+(FixturesF[Team2]=GroupF[[#This Row],[Team]])*(FixturesF[Team1 Score]))</f>
        <v>4</v>
      </c>
      <c r="J38">
        <f>GroupF[[#This Row],[W]]*3+GroupF[[#This Row],[D]]*1</f>
        <v>1</v>
      </c>
      <c r="K38">
        <f>GroupF[[#This Row],[F]]-GroupF[[#This Row],[A]]</f>
        <v>-3</v>
      </c>
      <c r="L38">
        <f>RANK(J38,$J$38:$J$41)</f>
        <v>4</v>
      </c>
      <c r="M38">
        <f>SUMPRODUCT(($J$38:$J$41=J38)*($K$38:$K$41&gt;K38))</f>
        <v>0</v>
      </c>
      <c r="N38">
        <f>SUMPRODUCT(($J$38:$J$41=J38)*($K$38:$K$41=K38)*($H$38:$H$41&gt;H38))</f>
        <v>0</v>
      </c>
    </row>
    <row r="39" spans="1:14" x14ac:dyDescent="0.25">
      <c r="A39">
        <f>GroupF[[#This Row],[Rank]]+COUNTIF($B$38:$B39,GroupF[[#This Row],[Rank]])-1</f>
        <v>1</v>
      </c>
      <c r="B39">
        <f>GroupF[[#This Row],[Rank2]]+GroupF[[#This Row],[GD3]]+GroupF[[#This Row],[Goals]]</f>
        <v>1</v>
      </c>
      <c r="C39" t="s">
        <v>63</v>
      </c>
      <c r="D39">
        <f>SUMPRODUCT((FixturesF[Team1]=GroupF[[#This Row],[Team]])*(FixturesF[Team1 Score]&lt;&gt;"")+(FixturesF[Team2]=GroupF[[#This Row],[Team]])*(FixturesF[Team2 Score]&lt;&gt;""))</f>
        <v>3</v>
      </c>
      <c r="E39">
        <f>SUMPRODUCT((FixturesF[Team1]=GroupF[[#This Row],[Team]])*(FixturesF[Team1 Score]&gt;FixturesF[Team2 Score])+(FixturesF[Team2]=GroupF[[#This Row],[Team]])*(FixturesF[Team2 Score]&gt;FixturesF[Team1 Score]))</f>
        <v>1</v>
      </c>
      <c r="F39">
        <f>SUMPRODUCT((FixturesF[Team1]=GroupF[[#This Row],[Team]])*(FixturesF[Team1 Score]&lt;FixturesF[Team2 Score])+(FixturesF[Team2]=GroupF[[#This Row],[Team]])*(FixturesF[Team2 Score]&lt;FixturesF[Team1 Score]))</f>
        <v>0</v>
      </c>
      <c r="G39">
        <f>SUMPRODUCT((FixturesF[Team1]=GroupF[[#This Row],[Team]])*(FixturesF[Team1 Score]=FixturesF[Team2 Score])*(FixturesF[Team1 Score]&lt;&gt;"")+(FixturesF[Team2]=GroupF[[#This Row],[Team]])*(FixturesF[Team2 Score]=FixturesF[Team1 Score])*(FixturesF[Team2 Score]&lt;&gt;""))</f>
        <v>2</v>
      </c>
      <c r="H39">
        <f>SUMPRODUCT((FixturesF[Team1]=GroupF[[#This Row],[Team]])*(FixturesF[Team1 Score])+(FixturesF[Team2]=GroupF[[#This Row],[Team]])*(FixturesF[Team2 Score]))</f>
        <v>6</v>
      </c>
      <c r="I39">
        <f>SUMPRODUCT((FixturesF[Team1]=GroupF[[#This Row],[Team]])*(FixturesF[Team2 Score])+(FixturesF[Team2]=GroupF[[#This Row],[Team]])*(FixturesF[Team1 Score]))</f>
        <v>4</v>
      </c>
      <c r="J39">
        <f>GroupF[[#This Row],[W]]*3+GroupF[[#This Row],[D]]*1</f>
        <v>5</v>
      </c>
      <c r="K39">
        <f>GroupF[[#This Row],[F]]-GroupF[[#This Row],[A]]</f>
        <v>2</v>
      </c>
      <c r="L39">
        <f t="shared" ref="L39:L41" si="15">RANK(J39,$J$38:$J$41)</f>
        <v>1</v>
      </c>
      <c r="M39">
        <f t="shared" ref="M39:M41" si="16">SUMPRODUCT(($J$38:$J$41=J39)*($K$38:$K$41&gt;K39))</f>
        <v>0</v>
      </c>
      <c r="N39">
        <f t="shared" ref="N39:N41" si="17">SUMPRODUCT(($J$38:$J$41=J39)*($K$38:$K$41=K39)*($H$38:$H$41&gt;H39))</f>
        <v>0</v>
      </c>
    </row>
    <row r="40" spans="1:14" x14ac:dyDescent="0.25">
      <c r="A40">
        <f>GroupF[[#This Row],[Rank]]+COUNTIF($B$38:$B40,GroupF[[#This Row],[Rank]])-1</f>
        <v>2</v>
      </c>
      <c r="B40">
        <f>GroupF[[#This Row],[Rank2]]+GroupF[[#This Row],[GD3]]+GroupF[[#This Row],[Goals]]</f>
        <v>2</v>
      </c>
      <c r="C40" t="s">
        <v>64</v>
      </c>
      <c r="D40">
        <f>SUMPRODUCT((FixturesF[Team1]=GroupF[[#This Row],[Team]])*(FixturesF[Team1 Score]&lt;&gt;"")+(FixturesF[Team2]=GroupF[[#This Row],[Team]])*(FixturesF[Team2 Score]&lt;&gt;""))</f>
        <v>3</v>
      </c>
      <c r="E40">
        <f>SUMPRODUCT((FixturesF[Team1]=GroupF[[#This Row],[Team]])*(FixturesF[Team1 Score]&gt;FixturesF[Team2 Score])+(FixturesF[Team2]=GroupF[[#This Row],[Team]])*(FixturesF[Team2 Score]&gt;FixturesF[Team1 Score]))</f>
        <v>1</v>
      </c>
      <c r="F40">
        <f>SUMPRODUCT((FixturesF[Team1]=GroupF[[#This Row],[Team]])*(FixturesF[Team1 Score]&lt;FixturesF[Team2 Score])+(FixturesF[Team2]=GroupF[[#This Row],[Team]])*(FixturesF[Team2 Score]&lt;FixturesF[Team1 Score]))</f>
        <v>0</v>
      </c>
      <c r="G40">
        <f>SUMPRODUCT((FixturesF[Team1]=GroupF[[#This Row],[Team]])*(FixturesF[Team1 Score]=FixturesF[Team2 Score])*(FixturesF[Team1 Score]&lt;&gt;"")+(FixturesF[Team2]=GroupF[[#This Row],[Team]])*(FixturesF[Team2 Score]=FixturesF[Team1 Score])*(FixturesF[Team2 Score]&lt;&gt;""))</f>
        <v>2</v>
      </c>
      <c r="H40">
        <f>SUMPRODUCT((FixturesF[Team1]=GroupF[[#This Row],[Team]])*(FixturesF[Team1 Score])+(FixturesF[Team2]=GroupF[[#This Row],[Team]])*(FixturesF[Team2 Score]))</f>
        <v>4</v>
      </c>
      <c r="I40">
        <f>SUMPRODUCT((FixturesF[Team1]=GroupF[[#This Row],[Team]])*(FixturesF[Team2 Score])+(FixturesF[Team2]=GroupF[[#This Row],[Team]])*(FixturesF[Team1 Score]))</f>
        <v>3</v>
      </c>
      <c r="J40">
        <f>GroupF[[#This Row],[W]]*3+GroupF[[#This Row],[D]]*1</f>
        <v>5</v>
      </c>
      <c r="K40">
        <f>GroupF[[#This Row],[F]]-GroupF[[#This Row],[A]]</f>
        <v>1</v>
      </c>
      <c r="L40">
        <f t="shared" si="15"/>
        <v>1</v>
      </c>
      <c r="M40">
        <f t="shared" si="16"/>
        <v>1</v>
      </c>
      <c r="N40">
        <f t="shared" si="17"/>
        <v>0</v>
      </c>
    </row>
    <row r="41" spans="1:14" x14ac:dyDescent="0.25">
      <c r="A41">
        <f>GroupF[[#This Row],[Rank]]+COUNTIF($B$38:$B41,GroupF[[#This Row],[Rank]])-1</f>
        <v>3</v>
      </c>
      <c r="B41">
        <f>GroupF[[#This Row],[Rank2]]+GroupF[[#This Row],[GD3]]+GroupF[[#This Row],[Goals]]</f>
        <v>3</v>
      </c>
      <c r="C41" t="s">
        <v>24</v>
      </c>
      <c r="D41">
        <f>SUMPRODUCT((FixturesF[Team1]=GroupF[[#This Row],[Team]])*(FixturesF[Team1 Score]&lt;&gt;"")+(FixturesF[Team2]=GroupF[[#This Row],[Team]])*(FixturesF[Team2 Score]&lt;&gt;""))</f>
        <v>3</v>
      </c>
      <c r="E41">
        <f>SUMPRODUCT((FixturesF[Team1]=GroupF[[#This Row],[Team]])*(FixturesF[Team1 Score]&gt;FixturesF[Team2 Score])+(FixturesF[Team2]=GroupF[[#This Row],[Team]])*(FixturesF[Team2 Score]&gt;FixturesF[Team1 Score]))</f>
        <v>0</v>
      </c>
      <c r="F41">
        <f>SUMPRODUCT((FixturesF[Team1]=GroupF[[#This Row],[Team]])*(FixturesF[Team1 Score]&lt;FixturesF[Team2 Score])+(FixturesF[Team2]=GroupF[[#This Row],[Team]])*(FixturesF[Team2 Score]&lt;FixturesF[Team1 Score]))</f>
        <v>0</v>
      </c>
      <c r="G41">
        <f>SUMPRODUCT((FixturesF[Team1]=GroupF[[#This Row],[Team]])*(FixturesF[Team1 Score]=FixturesF[Team2 Score])*(FixturesF[Team1 Score]&lt;&gt;"")+(FixturesF[Team2]=GroupF[[#This Row],[Team]])*(FixturesF[Team2 Score]=FixturesF[Team1 Score])*(FixturesF[Team2 Score]&lt;&gt;""))</f>
        <v>3</v>
      </c>
      <c r="H41">
        <f>SUMPRODUCT((FixturesF[Team1]=GroupF[[#This Row],[Team]])*(FixturesF[Team1 Score])+(FixturesF[Team2]=GroupF[[#This Row],[Team]])*(FixturesF[Team2 Score]))</f>
        <v>4</v>
      </c>
      <c r="I41">
        <f>SUMPRODUCT((FixturesF[Team1]=GroupF[[#This Row],[Team]])*(FixturesF[Team2 Score])+(FixturesF[Team2]=GroupF[[#This Row],[Team]])*(FixturesF[Team1 Score]))</f>
        <v>4</v>
      </c>
      <c r="J41">
        <f>GroupF[[#This Row],[W]]*3+GroupF[[#This Row],[D]]*1</f>
        <v>3</v>
      </c>
      <c r="K41">
        <f>GroupF[[#This Row],[F]]-GroupF[[#This Row],[A]]</f>
        <v>0</v>
      </c>
      <c r="L41">
        <f t="shared" si="15"/>
        <v>3</v>
      </c>
      <c r="M41">
        <f t="shared" si="16"/>
        <v>0</v>
      </c>
      <c r="N41">
        <f t="shared" si="17"/>
        <v>0</v>
      </c>
    </row>
    <row r="43" spans="1:14" x14ac:dyDescent="0.25">
      <c r="A43" s="1" t="s">
        <v>88</v>
      </c>
    </row>
    <row r="44" spans="1:14" x14ac:dyDescent="0.25">
      <c r="A44" s="1" t="s">
        <v>87</v>
      </c>
      <c r="B44" s="1" t="s">
        <v>4</v>
      </c>
      <c r="C44" s="1" t="s">
        <v>5</v>
      </c>
      <c r="D44" s="1" t="s">
        <v>90</v>
      </c>
      <c r="E44" s="1" t="s">
        <v>48</v>
      </c>
      <c r="F44" s="1" t="s">
        <v>47</v>
      </c>
      <c r="G44" s="1" t="s">
        <v>3</v>
      </c>
      <c r="H44" s="1" t="s">
        <v>85</v>
      </c>
      <c r="I44" s="1" t="s">
        <v>86</v>
      </c>
      <c r="J44" s="1" t="s">
        <v>89</v>
      </c>
    </row>
    <row r="45" spans="1:14" x14ac:dyDescent="0.25">
      <c r="A45">
        <f>ThirdTable[[#This Row],[Rank]]+COUNTIF($B$45:$B45,ThirdTable[[#This Row],[Rank]])-1</f>
        <v>5</v>
      </c>
      <c r="B45">
        <f>ThirdTable[[#This Row],[Rank2]]+ThirdTable[[#This Row],[GD3]]+ThirdTable[[#This Row],[Goals2]]</f>
        <v>5</v>
      </c>
      <c r="C45" t="str">
        <f>'League Tables'!$B$5</f>
        <v>Albania</v>
      </c>
      <c r="D45" t="s">
        <v>1</v>
      </c>
      <c r="E45">
        <f>'League Tables'!$I$5</f>
        <v>1</v>
      </c>
      <c r="F45">
        <f>'League Tables'!$F$5</f>
        <v>-2</v>
      </c>
      <c r="G45">
        <f>'League Tables'!$G$5</f>
        <v>3</v>
      </c>
      <c r="H45">
        <f>RANK(G45,$G$45:$G$50)</f>
        <v>3</v>
      </c>
      <c r="I45">
        <f>SUMPRODUCT(($G$45:$G$50=G45)*($F$45:$F$50&gt;F45))</f>
        <v>2</v>
      </c>
      <c r="J45">
        <f>SUMPRODUCT(($G$38:$G$41=G38)*($F$38:$F$41=F38)*($E$38:$E$41&gt;E38))</f>
        <v>0</v>
      </c>
    </row>
    <row r="46" spans="1:14" x14ac:dyDescent="0.25">
      <c r="A46">
        <f>ThirdTable[[#This Row],[Rank]]+COUNTIF($B$45:$B46,ThirdTable[[#This Row],[Rank]])-1</f>
        <v>1</v>
      </c>
      <c r="B46">
        <f>ThirdTable[[#This Row],[Rank2]]+ThirdTable[[#This Row],[GD3]]+ThirdTable[[#This Row],[Goals2]]</f>
        <v>1</v>
      </c>
      <c r="C46" t="str">
        <f>'League Tables'!$B$12</f>
        <v>Slovakia</v>
      </c>
      <c r="D46" t="s">
        <v>91</v>
      </c>
      <c r="E46">
        <f>'League Tables'!$I$12</f>
        <v>3</v>
      </c>
      <c r="F46">
        <f>'League Tables'!$F$12</f>
        <v>0</v>
      </c>
      <c r="G46">
        <f>'League Tables'!$G$12</f>
        <v>4</v>
      </c>
      <c r="H46">
        <f t="shared" ref="H46:H50" si="18">RANK(G46,$G$45:$G$50)</f>
        <v>1</v>
      </c>
      <c r="I46">
        <f t="shared" ref="I46:I50" si="19">SUMPRODUCT(($G$45:$G$50=G46)*($F$45:$F$50&gt;F46))</f>
        <v>0</v>
      </c>
      <c r="J46">
        <f t="shared" ref="J46:J50" si="20">SUMPRODUCT(($G$38:$G$41=G39)*($F$38:$F$41=F39)*($E$38:$E$41&gt;E39))</f>
        <v>0</v>
      </c>
    </row>
    <row r="47" spans="1:14" x14ac:dyDescent="0.25">
      <c r="A47">
        <f>ThirdTable[[#This Row],[Rank]]+COUNTIF($B$45:$B47,ThirdTable[[#This Row],[Rank]])-1</f>
        <v>3</v>
      </c>
      <c r="B47">
        <f>ThirdTable[[#This Row],[Rank2]]+ThirdTable[[#This Row],[GD3]]+ThirdTable[[#This Row],[Goals2]]</f>
        <v>3</v>
      </c>
      <c r="C47" t="str">
        <f>'League Tables'!$B$19</f>
        <v>N Ireland</v>
      </c>
      <c r="D47" t="s">
        <v>92</v>
      </c>
      <c r="E47">
        <f>'League Tables'!$I$19</f>
        <v>2</v>
      </c>
      <c r="F47">
        <f>'League Tables'!$F$19</f>
        <v>0</v>
      </c>
      <c r="G47">
        <f>'League Tables'!$G$19</f>
        <v>3</v>
      </c>
      <c r="H47">
        <f t="shared" si="18"/>
        <v>3</v>
      </c>
      <c r="I47">
        <f t="shared" si="19"/>
        <v>0</v>
      </c>
      <c r="J47">
        <f t="shared" si="20"/>
        <v>0</v>
      </c>
    </row>
    <row r="48" spans="1:14" x14ac:dyDescent="0.25">
      <c r="A48">
        <f>ThirdTable[[#This Row],[Rank]]+COUNTIF($B$45:$B48,ThirdTable[[#This Row],[Rank]])-1</f>
        <v>6</v>
      </c>
      <c r="B48">
        <f>ThirdTable[[#This Row],[Rank2]]+ThirdTable[[#This Row],[GD3]]+ThirdTable[[#This Row],[Goals2]]</f>
        <v>5</v>
      </c>
      <c r="C48" t="str">
        <f>'League Tables'!$B$26</f>
        <v>Turkey</v>
      </c>
      <c r="D48" t="s">
        <v>9</v>
      </c>
      <c r="E48">
        <f>'League Tables'!$I$26</f>
        <v>2</v>
      </c>
      <c r="F48">
        <f>'League Tables'!$F$26</f>
        <v>-2</v>
      </c>
      <c r="G48">
        <f>'League Tables'!$G$26</f>
        <v>3</v>
      </c>
      <c r="H48">
        <f t="shared" si="18"/>
        <v>3</v>
      </c>
      <c r="I48">
        <f t="shared" si="19"/>
        <v>2</v>
      </c>
      <c r="J48">
        <f t="shared" si="20"/>
        <v>0</v>
      </c>
    </row>
    <row r="49" spans="1:10" x14ac:dyDescent="0.25">
      <c r="A49">
        <f>ThirdTable[[#This Row],[Rank]]+COUNTIF($B$45:$B49,ThirdTable[[#This Row],[Rank]])-1</f>
        <v>2</v>
      </c>
      <c r="B49">
        <f>ThirdTable[[#This Row],[Rank2]]+ThirdTable[[#This Row],[GD3]]+ThirdTable[[#This Row],[Goals2]]</f>
        <v>2</v>
      </c>
      <c r="C49" t="str">
        <f>'League Tables'!$B$33</f>
        <v>R. of Ireland</v>
      </c>
      <c r="D49" t="s">
        <v>93</v>
      </c>
      <c r="E49">
        <f>'League Tables'!$I$33</f>
        <v>2</v>
      </c>
      <c r="F49">
        <f>'League Tables'!$F$33</f>
        <v>-2</v>
      </c>
      <c r="G49">
        <f>'League Tables'!$G$33</f>
        <v>4</v>
      </c>
      <c r="H49">
        <f t="shared" si="18"/>
        <v>1</v>
      </c>
      <c r="I49">
        <f t="shared" si="19"/>
        <v>1</v>
      </c>
      <c r="J49">
        <f t="shared" si="20"/>
        <v>0</v>
      </c>
    </row>
    <row r="50" spans="1:10" x14ac:dyDescent="0.25">
      <c r="A50">
        <f>ThirdTable[[#This Row],[Rank]]+COUNTIF($B$45:$B50,ThirdTable[[#This Row],[Rank]])-1</f>
        <v>4</v>
      </c>
      <c r="B50">
        <f>ThirdTable[[#This Row],[Rank2]]+ThirdTable[[#This Row],[GD3]]+ThirdTable[[#This Row],[Goals2]]</f>
        <v>3</v>
      </c>
      <c r="C50" t="str">
        <f>'League Tables'!$B$40</f>
        <v>Portugal</v>
      </c>
      <c r="D50" t="s">
        <v>0</v>
      </c>
      <c r="E50">
        <f>'League Tables'!$I$40</f>
        <v>4</v>
      </c>
      <c r="F50">
        <f>'League Tables'!$F$40</f>
        <v>0</v>
      </c>
      <c r="G50">
        <f>'League Tables'!$G$40</f>
        <v>3</v>
      </c>
      <c r="H50">
        <f t="shared" si="18"/>
        <v>3</v>
      </c>
      <c r="I50">
        <f t="shared" si="19"/>
        <v>0</v>
      </c>
      <c r="J50">
        <f t="shared" si="20"/>
        <v>0</v>
      </c>
    </row>
  </sheetData>
  <pageMargins left="0.7" right="0.7" top="0.75" bottom="0.75" header="0.3" footer="0.3"/>
  <pageSetup paperSize="9" orientation="portrait" verticalDpi="200" r:id="rId1"/>
  <ignoredErrors>
    <ignoredError sqref="B38 B31 B24 B17 B10 B3 J3:K3 J10:K10 J17:K17 J24:K24 J31:K31 J38:K38 B45" calculatedColumn="1"/>
  </ignoredErrors>
  <tableParts count="7">
    <tablePart r:id="rId2"/>
    <tablePart r:id="rId3"/>
    <tablePart r:id="rId4"/>
    <tablePart r:id="rId5"/>
    <tablePart r:id="rId6"/>
    <tablePart r:id="rId7"/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"/>
  <sheetViews>
    <sheetView showGridLines="0" topLeftCell="A32" workbookViewId="0">
      <selection activeCell="I39" sqref="I39"/>
    </sheetView>
  </sheetViews>
  <sheetFormatPr defaultRowHeight="15" x14ac:dyDescent="0.25"/>
  <cols>
    <col min="1" max="1" width="13.140625" bestFit="1" customWidth="1"/>
    <col min="2" max="2" width="24.140625" customWidth="1"/>
    <col min="3" max="7" width="4.7109375" customWidth="1"/>
    <col min="11" max="11" width="20.7109375" customWidth="1"/>
    <col min="12" max="12" width="11.42578125" customWidth="1"/>
    <col min="13" max="14" width="11.28515625" customWidth="1"/>
    <col min="15" max="15" width="11.42578125" customWidth="1"/>
  </cols>
  <sheetData>
    <row r="1" spans="1:15" ht="15.75" thickBot="1" x14ac:dyDescent="0.3">
      <c r="A1" t="s">
        <v>13</v>
      </c>
    </row>
    <row r="2" spans="1:15" ht="15.75" thickBot="1" x14ac:dyDescent="0.3">
      <c r="A2" s="6" t="s">
        <v>10</v>
      </c>
      <c r="B2" s="6" t="s">
        <v>5</v>
      </c>
      <c r="C2" s="6" t="s">
        <v>7</v>
      </c>
      <c r="D2" s="6" t="s">
        <v>8</v>
      </c>
      <c r="E2" s="6" t="s">
        <v>9</v>
      </c>
      <c r="F2" s="6" t="s">
        <v>47</v>
      </c>
      <c r="G2" s="6" t="s">
        <v>3</v>
      </c>
    </row>
    <row r="3" spans="1:15" x14ac:dyDescent="0.25">
      <c r="A3" s="4">
        <v>1</v>
      </c>
      <c r="B3" s="4" t="str">
        <f>VLOOKUP(A3,GroupA[],3,FALSE)</f>
        <v>France</v>
      </c>
      <c r="C3" s="4">
        <f>VLOOKUP(A3,GroupA[],5,FALSE)</f>
        <v>2</v>
      </c>
      <c r="D3" s="4">
        <f>VLOOKUP(A3,GroupA[],6,FALSE)</f>
        <v>0</v>
      </c>
      <c r="E3" s="4">
        <f>VLOOKUP(A3,GroupA[],7,FALSE)</f>
        <v>1</v>
      </c>
      <c r="F3" s="4">
        <f>VLOOKUP(A3,GroupA[],11,FALSE)</f>
        <v>3</v>
      </c>
      <c r="G3" s="4">
        <f>VLOOKUP(A3,GroupA[],10,FALSE)</f>
        <v>7</v>
      </c>
      <c r="I3">
        <f>VLOOKUP(A3,GroupA[],8,FALSE)</f>
        <v>4</v>
      </c>
    </row>
    <row r="4" spans="1:15" x14ac:dyDescent="0.25">
      <c r="A4" s="4">
        <v>2</v>
      </c>
      <c r="B4" s="4" t="str">
        <f>VLOOKUP(A4,GroupA[],3,FALSE)</f>
        <v>Switzerland</v>
      </c>
      <c r="C4" s="4">
        <f>VLOOKUP(A4,GroupA[],5,FALSE)</f>
        <v>1</v>
      </c>
      <c r="D4" s="4">
        <f>VLOOKUP(A4,GroupA[],6,FALSE)</f>
        <v>0</v>
      </c>
      <c r="E4" s="4">
        <f>VLOOKUP(A4,GroupA[],7,FALSE)</f>
        <v>2</v>
      </c>
      <c r="F4" s="4">
        <f>VLOOKUP(A4,GroupA[],11,FALSE)</f>
        <v>1</v>
      </c>
      <c r="G4" s="4">
        <f>VLOOKUP(A4,GroupA[],10,FALSE)</f>
        <v>5</v>
      </c>
      <c r="I4">
        <f>VLOOKUP(A4,GroupA[],8,FALSE)</f>
        <v>2</v>
      </c>
    </row>
    <row r="5" spans="1:15" x14ac:dyDescent="0.25">
      <c r="A5" s="4">
        <v>3</v>
      </c>
      <c r="B5" s="4" t="str">
        <f>VLOOKUP(A5,GroupA[],3,FALSE)</f>
        <v>Albania</v>
      </c>
      <c r="C5" s="4">
        <f>VLOOKUP(A5,GroupA[],5,FALSE)</f>
        <v>1</v>
      </c>
      <c r="D5" s="4">
        <f>VLOOKUP(A5,GroupA[],6,FALSE)</f>
        <v>2</v>
      </c>
      <c r="E5" s="4">
        <f>VLOOKUP(A5,GroupA[],7,FALSE)</f>
        <v>0</v>
      </c>
      <c r="F5" s="4">
        <f>VLOOKUP(A5,GroupA[],11,FALSE)</f>
        <v>-2</v>
      </c>
      <c r="G5" s="4">
        <f>VLOOKUP(A5,GroupA[],10,FALSE)</f>
        <v>3</v>
      </c>
      <c r="I5">
        <f>VLOOKUP(A5,GroupA[],8,FALSE)</f>
        <v>1</v>
      </c>
    </row>
    <row r="6" spans="1:15" x14ac:dyDescent="0.25">
      <c r="A6" s="4">
        <v>4</v>
      </c>
      <c r="B6" s="4" t="str">
        <f>VLOOKUP(A6,GroupA[],3,FALSE)</f>
        <v>Romania</v>
      </c>
      <c r="C6" s="4">
        <f>VLOOKUP(A6,GroupA[],5,FALSE)</f>
        <v>0</v>
      </c>
      <c r="D6" s="4">
        <f>VLOOKUP(A6,GroupA[],6,FALSE)</f>
        <v>2</v>
      </c>
      <c r="E6" s="4">
        <f>VLOOKUP(A6,GroupA[],7,FALSE)</f>
        <v>1</v>
      </c>
      <c r="F6" s="4">
        <f>VLOOKUP(A6,GroupA[],11,FALSE)</f>
        <v>-2</v>
      </c>
      <c r="G6" s="4">
        <f>VLOOKUP(A6,GroupA[],10,FALSE)</f>
        <v>1</v>
      </c>
      <c r="I6">
        <f>VLOOKUP(A6,GroupA[],8,FALSE)</f>
        <v>2</v>
      </c>
    </row>
    <row r="7" spans="1:15" ht="30" x14ac:dyDescent="0.25">
      <c r="K7" s="36" t="s">
        <v>117</v>
      </c>
      <c r="L7" s="36" t="s">
        <v>139</v>
      </c>
      <c r="M7" s="36" t="s">
        <v>140</v>
      </c>
      <c r="N7" s="36" t="s">
        <v>141</v>
      </c>
      <c r="O7" s="36" t="s">
        <v>142</v>
      </c>
    </row>
    <row r="8" spans="1:15" ht="15.75" thickBot="1" x14ac:dyDescent="0.3">
      <c r="A8" t="s">
        <v>15</v>
      </c>
      <c r="K8" s="35" t="s">
        <v>118</v>
      </c>
      <c r="L8" s="37" t="s">
        <v>119</v>
      </c>
      <c r="M8" s="37" t="s">
        <v>120</v>
      </c>
      <c r="N8" s="37" t="s">
        <v>121</v>
      </c>
      <c r="O8" s="37" t="s">
        <v>122</v>
      </c>
    </row>
    <row r="9" spans="1:15" ht="15.75" thickBot="1" x14ac:dyDescent="0.3">
      <c r="A9" s="6" t="s">
        <v>10</v>
      </c>
      <c r="B9" s="6" t="s">
        <v>5</v>
      </c>
      <c r="C9" s="6" t="s">
        <v>7</v>
      </c>
      <c r="D9" s="6" t="s">
        <v>8</v>
      </c>
      <c r="E9" s="6" t="s">
        <v>9</v>
      </c>
      <c r="F9" s="6" t="s">
        <v>47</v>
      </c>
      <c r="G9" s="6" t="s">
        <v>3</v>
      </c>
      <c r="K9" s="35" t="s">
        <v>123</v>
      </c>
      <c r="L9" s="37" t="s">
        <v>119</v>
      </c>
      <c r="M9" s="37" t="s">
        <v>121</v>
      </c>
      <c r="N9" s="37" t="s">
        <v>122</v>
      </c>
      <c r="O9" s="37" t="s">
        <v>124</v>
      </c>
    </row>
    <row r="10" spans="1:15" x14ac:dyDescent="0.25">
      <c r="A10" s="4">
        <v>1</v>
      </c>
      <c r="B10" s="4" t="str">
        <f>VLOOKUP(A10,GroupB[],3,FALSE)</f>
        <v>Wales</v>
      </c>
      <c r="C10" s="4">
        <f>VLOOKUP(A10,GroupB[],5,FALSE)</f>
        <v>2</v>
      </c>
      <c r="D10" s="4">
        <f>VLOOKUP(A10,GroupB[],6,FALSE)</f>
        <v>1</v>
      </c>
      <c r="E10" s="4">
        <f>VLOOKUP(A10,GroupB[],7,FALSE)</f>
        <v>0</v>
      </c>
      <c r="F10" s="4">
        <f>VLOOKUP(A10,GroupB[],11,FALSE)</f>
        <v>3</v>
      </c>
      <c r="G10" s="4">
        <f>VLOOKUP(A10,GroupB[],10,FALSE)</f>
        <v>6</v>
      </c>
      <c r="I10">
        <f>VLOOKUP(A10,GroupB[],8,FALSE)</f>
        <v>6</v>
      </c>
      <c r="K10" s="35" t="s">
        <v>125</v>
      </c>
      <c r="L10" s="37" t="s">
        <v>119</v>
      </c>
      <c r="M10" s="37" t="s">
        <v>121</v>
      </c>
      <c r="N10" s="37" t="s">
        <v>122</v>
      </c>
      <c r="O10" s="37" t="s">
        <v>126</v>
      </c>
    </row>
    <row r="11" spans="1:15" x14ac:dyDescent="0.25">
      <c r="A11" s="4">
        <v>2</v>
      </c>
      <c r="B11" s="4" t="str">
        <f>VLOOKUP(A11,GroupB[],3,FALSE)</f>
        <v>England</v>
      </c>
      <c r="C11" s="4">
        <f>VLOOKUP(A11,GroupB[],5,FALSE)</f>
        <v>1</v>
      </c>
      <c r="D11" s="4">
        <f>VLOOKUP(A11,GroupB[],6,FALSE)</f>
        <v>0</v>
      </c>
      <c r="E11" s="4">
        <f>VLOOKUP(A11,GroupB[],7,FALSE)</f>
        <v>2</v>
      </c>
      <c r="F11" s="4">
        <f>VLOOKUP(A11,GroupB[],11,FALSE)</f>
        <v>1</v>
      </c>
      <c r="G11" s="4">
        <f>VLOOKUP(A11,GroupB[],10,FALSE)</f>
        <v>5</v>
      </c>
      <c r="I11">
        <f>VLOOKUP(A11,GroupB[],8,FALSE)</f>
        <v>3</v>
      </c>
      <c r="K11" s="35" t="s">
        <v>127</v>
      </c>
      <c r="L11" s="37" t="s">
        <v>120</v>
      </c>
      <c r="M11" s="37" t="s">
        <v>121</v>
      </c>
      <c r="N11" s="37" t="s">
        <v>122</v>
      </c>
      <c r="O11" s="37" t="s">
        <v>124</v>
      </c>
    </row>
    <row r="12" spans="1:15" x14ac:dyDescent="0.25">
      <c r="A12" s="4">
        <v>3</v>
      </c>
      <c r="B12" s="4" t="str">
        <f>VLOOKUP(A12,GroupB[],3,FALSE)</f>
        <v>Slovakia</v>
      </c>
      <c r="C12" s="4">
        <f>VLOOKUP(A12,GroupB[],5,FALSE)</f>
        <v>1</v>
      </c>
      <c r="D12" s="4">
        <f>VLOOKUP(A12,GroupB[],6,FALSE)</f>
        <v>1</v>
      </c>
      <c r="E12" s="4">
        <f>VLOOKUP(A12,GroupB[],7,FALSE)</f>
        <v>1</v>
      </c>
      <c r="F12" s="4">
        <f>VLOOKUP(A12,GroupB[],11,FALSE)</f>
        <v>0</v>
      </c>
      <c r="G12" s="4">
        <f>VLOOKUP(A12,GroupB[],10,FALSE)</f>
        <v>4</v>
      </c>
      <c r="I12">
        <f>VLOOKUP(A12,GroupB[],8,FALSE)</f>
        <v>3</v>
      </c>
      <c r="K12" s="35" t="s">
        <v>128</v>
      </c>
      <c r="L12" s="37" t="s">
        <v>120</v>
      </c>
      <c r="M12" s="37" t="s">
        <v>121</v>
      </c>
      <c r="N12" s="37" t="s">
        <v>122</v>
      </c>
      <c r="O12" s="37" t="s">
        <v>126</v>
      </c>
    </row>
    <row r="13" spans="1:15" x14ac:dyDescent="0.25">
      <c r="A13" s="4">
        <v>4</v>
      </c>
      <c r="B13" s="4" t="str">
        <f>VLOOKUP(A13,GroupB[],3,FALSE)</f>
        <v>Russia</v>
      </c>
      <c r="C13" s="4">
        <f>VLOOKUP(A13,GroupB[],5,FALSE)</f>
        <v>0</v>
      </c>
      <c r="D13" s="4">
        <f>VLOOKUP(A13,GroupB[],6,FALSE)</f>
        <v>2</v>
      </c>
      <c r="E13" s="4">
        <f>VLOOKUP(A13,GroupB[],7,FALSE)</f>
        <v>1</v>
      </c>
      <c r="F13" s="4">
        <f>VLOOKUP(A13,GroupB[],11,FALSE)</f>
        <v>-4</v>
      </c>
      <c r="G13" s="4">
        <f>VLOOKUP(A13,GroupB[],10,FALSE)</f>
        <v>1</v>
      </c>
      <c r="I13">
        <f>VLOOKUP(A13,GroupB[],8,FALSE)</f>
        <v>2</v>
      </c>
      <c r="K13" s="35" t="s">
        <v>129</v>
      </c>
      <c r="L13" s="37" t="s">
        <v>124</v>
      </c>
      <c r="M13" s="37" t="s">
        <v>121</v>
      </c>
      <c r="N13" s="37" t="s">
        <v>122</v>
      </c>
      <c r="O13" s="37" t="s">
        <v>126</v>
      </c>
    </row>
    <row r="14" spans="1:15" x14ac:dyDescent="0.25">
      <c r="K14" s="35" t="s">
        <v>130</v>
      </c>
      <c r="L14" s="37" t="s">
        <v>119</v>
      </c>
      <c r="M14" s="37" t="s">
        <v>120</v>
      </c>
      <c r="N14" s="37" t="s">
        <v>121</v>
      </c>
      <c r="O14" s="37" t="s">
        <v>124</v>
      </c>
    </row>
    <row r="15" spans="1:15" ht="15.75" thickBot="1" x14ac:dyDescent="0.3">
      <c r="A15" t="s">
        <v>16</v>
      </c>
      <c r="K15" s="35" t="s">
        <v>131</v>
      </c>
      <c r="L15" s="37" t="s">
        <v>119</v>
      </c>
      <c r="M15" s="37" t="s">
        <v>120</v>
      </c>
      <c r="N15" s="37" t="s">
        <v>121</v>
      </c>
      <c r="O15" s="37" t="s">
        <v>126</v>
      </c>
    </row>
    <row r="16" spans="1:15" ht="15.75" thickBot="1" x14ac:dyDescent="0.3">
      <c r="A16" s="6" t="s">
        <v>10</v>
      </c>
      <c r="B16" s="6" t="s">
        <v>5</v>
      </c>
      <c r="C16" s="6" t="s">
        <v>7</v>
      </c>
      <c r="D16" s="6" t="s">
        <v>8</v>
      </c>
      <c r="E16" s="6" t="s">
        <v>9</v>
      </c>
      <c r="F16" s="6" t="s">
        <v>47</v>
      </c>
      <c r="G16" s="6" t="s">
        <v>3</v>
      </c>
      <c r="K16" s="35" t="s">
        <v>132</v>
      </c>
      <c r="L16" s="37" t="s">
        <v>119</v>
      </c>
      <c r="M16" s="37" t="s">
        <v>121</v>
      </c>
      <c r="N16" s="37" t="s">
        <v>126</v>
      </c>
      <c r="O16" s="37" t="s">
        <v>124</v>
      </c>
    </row>
    <row r="17" spans="1:15" x14ac:dyDescent="0.25">
      <c r="A17" s="4">
        <v>1</v>
      </c>
      <c r="B17" s="4" t="str">
        <f>VLOOKUP(A17,GroupC[],3,FALSE)</f>
        <v>Germany</v>
      </c>
      <c r="C17" s="4">
        <f>VLOOKUP(A17,GroupC[],5,FALSE)</f>
        <v>2</v>
      </c>
      <c r="D17" s="4">
        <f>VLOOKUP(A17,GroupC[],6,FALSE)</f>
        <v>0</v>
      </c>
      <c r="E17" s="4">
        <f>VLOOKUP(A17,GroupC[],7,FALSE)</f>
        <v>1</v>
      </c>
      <c r="F17" s="4">
        <f>VLOOKUP(A17,GroupC[],11,FALSE)</f>
        <v>3</v>
      </c>
      <c r="G17" s="4">
        <f>VLOOKUP(A17,GroupC[],10,FALSE)</f>
        <v>7</v>
      </c>
      <c r="I17">
        <f>VLOOKUP(A17,GroupC[],8,FALSE)</f>
        <v>3</v>
      </c>
      <c r="K17" s="35" t="s">
        <v>133</v>
      </c>
      <c r="L17" s="37" t="s">
        <v>120</v>
      </c>
      <c r="M17" s="37" t="s">
        <v>121</v>
      </c>
      <c r="N17" s="37" t="s">
        <v>126</v>
      </c>
      <c r="O17" s="37" t="s">
        <v>124</v>
      </c>
    </row>
    <row r="18" spans="1:15" x14ac:dyDescent="0.25">
      <c r="A18" s="4">
        <v>2</v>
      </c>
      <c r="B18" s="4" t="str">
        <f>VLOOKUP(A18,GroupC[],3,FALSE)</f>
        <v>Poland</v>
      </c>
      <c r="C18" s="4">
        <f>VLOOKUP(A18,GroupC[],5,FALSE)</f>
        <v>2</v>
      </c>
      <c r="D18" s="4">
        <f>VLOOKUP(A18,GroupC[],6,FALSE)</f>
        <v>0</v>
      </c>
      <c r="E18" s="4">
        <f>VLOOKUP(A18,GroupC[],7,FALSE)</f>
        <v>1</v>
      </c>
      <c r="F18" s="4">
        <f>VLOOKUP(A18,GroupC[],11,FALSE)</f>
        <v>2</v>
      </c>
      <c r="G18" s="4">
        <f>VLOOKUP(A18,GroupC[],10,FALSE)</f>
        <v>7</v>
      </c>
      <c r="I18">
        <f>VLOOKUP(A18,GroupC[],8,FALSE)</f>
        <v>2</v>
      </c>
      <c r="K18" s="35" t="s">
        <v>134</v>
      </c>
      <c r="L18" s="37" t="s">
        <v>119</v>
      </c>
      <c r="M18" s="37" t="s">
        <v>120</v>
      </c>
      <c r="N18" s="37" t="s">
        <v>122</v>
      </c>
      <c r="O18" s="37" t="s">
        <v>124</v>
      </c>
    </row>
    <row r="19" spans="1:15" x14ac:dyDescent="0.25">
      <c r="A19" s="4">
        <v>3</v>
      </c>
      <c r="B19" s="4" t="str">
        <f>VLOOKUP(A19,GroupC[],3,FALSE)</f>
        <v>N Ireland</v>
      </c>
      <c r="C19" s="4">
        <f>VLOOKUP(A19,GroupC[],5,FALSE)</f>
        <v>1</v>
      </c>
      <c r="D19" s="4">
        <f>VLOOKUP(A19,GroupC[],6,FALSE)</f>
        <v>2</v>
      </c>
      <c r="E19" s="4">
        <f>VLOOKUP(A19,GroupC[],7,FALSE)</f>
        <v>0</v>
      </c>
      <c r="F19" s="4">
        <f>VLOOKUP(A19,GroupC[],11,FALSE)</f>
        <v>0</v>
      </c>
      <c r="G19" s="4">
        <f>VLOOKUP(A19,GroupC[],10,FALSE)</f>
        <v>3</v>
      </c>
      <c r="I19">
        <f>VLOOKUP(A19,GroupC[],8,FALSE)</f>
        <v>2</v>
      </c>
      <c r="K19" s="35" t="s">
        <v>135</v>
      </c>
      <c r="L19" s="37" t="s">
        <v>119</v>
      </c>
      <c r="M19" s="37" t="s">
        <v>120</v>
      </c>
      <c r="N19" s="37" t="s">
        <v>122</v>
      </c>
      <c r="O19" s="37" t="s">
        <v>126</v>
      </c>
    </row>
    <row r="20" spans="1:15" x14ac:dyDescent="0.25">
      <c r="A20" s="4">
        <v>4</v>
      </c>
      <c r="B20" s="4" t="str">
        <f>VLOOKUP(A20,GroupC[],3,FALSE)</f>
        <v>Ukraine</v>
      </c>
      <c r="C20" s="4">
        <f>VLOOKUP(A20,GroupC[],5,FALSE)</f>
        <v>0</v>
      </c>
      <c r="D20" s="4">
        <f>VLOOKUP(A20,GroupC[],6,FALSE)</f>
        <v>3</v>
      </c>
      <c r="E20" s="4">
        <f>VLOOKUP(A20,GroupC[],7,FALSE)</f>
        <v>0</v>
      </c>
      <c r="F20" s="4">
        <f>VLOOKUP(A20,GroupC[],11,FALSE)</f>
        <v>-5</v>
      </c>
      <c r="G20" s="4">
        <f>VLOOKUP(A20,GroupC[],10,FALSE)</f>
        <v>0</v>
      </c>
      <c r="I20">
        <f>VLOOKUP(A20,GroupC[],8,FALSE)</f>
        <v>0</v>
      </c>
      <c r="K20" s="35" t="s">
        <v>136</v>
      </c>
      <c r="L20" s="37" t="s">
        <v>124</v>
      </c>
      <c r="M20" s="37" t="s">
        <v>119</v>
      </c>
      <c r="N20" s="37" t="s">
        <v>122</v>
      </c>
      <c r="O20" s="37" t="s">
        <v>126</v>
      </c>
    </row>
    <row r="21" spans="1:15" x14ac:dyDescent="0.25">
      <c r="K21" s="35" t="s">
        <v>137</v>
      </c>
      <c r="L21" s="37" t="s">
        <v>124</v>
      </c>
      <c r="M21" s="37" t="s">
        <v>120</v>
      </c>
      <c r="N21" s="37" t="s">
        <v>122</v>
      </c>
      <c r="O21" s="37" t="s">
        <v>126</v>
      </c>
    </row>
    <row r="22" spans="1:15" ht="15.75" thickBot="1" x14ac:dyDescent="0.3">
      <c r="A22" t="s">
        <v>18</v>
      </c>
      <c r="K22" s="35" t="s">
        <v>138</v>
      </c>
      <c r="L22" s="37" t="s">
        <v>119</v>
      </c>
      <c r="M22" s="37" t="s">
        <v>120</v>
      </c>
      <c r="N22" s="37" t="s">
        <v>126</v>
      </c>
      <c r="O22" s="37" t="s">
        <v>124</v>
      </c>
    </row>
    <row r="23" spans="1:15" ht="15.75" thickBot="1" x14ac:dyDescent="0.3">
      <c r="A23" s="6" t="s">
        <v>10</v>
      </c>
      <c r="B23" s="6" t="s">
        <v>5</v>
      </c>
      <c r="C23" s="6" t="s">
        <v>7</v>
      </c>
      <c r="D23" s="6" t="s">
        <v>8</v>
      </c>
      <c r="E23" s="6" t="s">
        <v>9</v>
      </c>
      <c r="F23" s="6" t="s">
        <v>47</v>
      </c>
      <c r="G23" s="6" t="s">
        <v>3</v>
      </c>
    </row>
    <row r="24" spans="1:15" x14ac:dyDescent="0.25">
      <c r="A24" s="4">
        <v>1</v>
      </c>
      <c r="B24" s="4" t="str">
        <f>VLOOKUP(A24,GroupD[],3,FALSE)</f>
        <v>Croatia</v>
      </c>
      <c r="C24" s="4">
        <f>VLOOKUP(A24,GroupD[],5,FALSE)</f>
        <v>2</v>
      </c>
      <c r="D24" s="4">
        <f>VLOOKUP(A24,GroupD[],6,FALSE)</f>
        <v>0</v>
      </c>
      <c r="E24" s="4">
        <f>VLOOKUP(A24,GroupD[],7,FALSE)</f>
        <v>1</v>
      </c>
      <c r="F24" s="4">
        <f>VLOOKUP(A24,GroupD[],11,FALSE)</f>
        <v>2</v>
      </c>
      <c r="G24" s="4">
        <f>VLOOKUP(A24,GroupD[],10,FALSE)</f>
        <v>7</v>
      </c>
      <c r="I24">
        <f>VLOOKUP(A24,GroupD[],8,FALSE)</f>
        <v>5</v>
      </c>
    </row>
    <row r="25" spans="1:15" x14ac:dyDescent="0.25">
      <c r="A25" s="4">
        <v>2</v>
      </c>
      <c r="B25" s="4" t="str">
        <f>VLOOKUP(A25,GroupD[],3,FALSE)</f>
        <v>Spain</v>
      </c>
      <c r="C25" s="4">
        <f>VLOOKUP(A25,GroupD[],5,FALSE)</f>
        <v>2</v>
      </c>
      <c r="D25" s="4">
        <f>VLOOKUP(A25,GroupD[],6,FALSE)</f>
        <v>1</v>
      </c>
      <c r="E25" s="4">
        <f>VLOOKUP(A25,GroupD[],7,FALSE)</f>
        <v>0</v>
      </c>
      <c r="F25" s="4">
        <f>VLOOKUP(A25,GroupD[],11,FALSE)</f>
        <v>3</v>
      </c>
      <c r="G25" s="4">
        <f>VLOOKUP(A25,GroupD[],10,FALSE)</f>
        <v>6</v>
      </c>
      <c r="I25">
        <f>VLOOKUP(A25,GroupD[],8,FALSE)</f>
        <v>5</v>
      </c>
    </row>
    <row r="26" spans="1:15" x14ac:dyDescent="0.25">
      <c r="A26" s="4">
        <v>3</v>
      </c>
      <c r="B26" s="4" t="str">
        <f>VLOOKUP(A26,GroupD[],3,FALSE)</f>
        <v>Turkey</v>
      </c>
      <c r="C26" s="4">
        <f>VLOOKUP(A26,GroupD[],5,FALSE)</f>
        <v>1</v>
      </c>
      <c r="D26" s="4">
        <f>VLOOKUP(A26,GroupD[],6,FALSE)</f>
        <v>2</v>
      </c>
      <c r="E26" s="4">
        <f>VLOOKUP(A26,GroupD[],7,FALSE)</f>
        <v>0</v>
      </c>
      <c r="F26" s="4">
        <f>VLOOKUP(A26,GroupD[],11,FALSE)</f>
        <v>-2</v>
      </c>
      <c r="G26" s="4">
        <f>VLOOKUP(A26,GroupD[],10,FALSE)</f>
        <v>3</v>
      </c>
      <c r="I26">
        <f>VLOOKUP(A26,GroupD[],8,FALSE)</f>
        <v>2</v>
      </c>
    </row>
    <row r="27" spans="1:15" x14ac:dyDescent="0.25">
      <c r="A27" s="4">
        <v>4</v>
      </c>
      <c r="B27" s="4" t="str">
        <f>VLOOKUP(A27,GroupD[],3,FALSE)</f>
        <v>Czech Rep</v>
      </c>
      <c r="C27" s="4">
        <f>VLOOKUP(A27,GroupD[],5,FALSE)</f>
        <v>0</v>
      </c>
      <c r="D27" s="4">
        <f>VLOOKUP(A27,GroupD[],6,FALSE)</f>
        <v>2</v>
      </c>
      <c r="E27" s="4">
        <f>VLOOKUP(A27,GroupD[],7,FALSE)</f>
        <v>1</v>
      </c>
      <c r="F27" s="4">
        <f>VLOOKUP(A27,GroupD[],11,FALSE)</f>
        <v>-3</v>
      </c>
      <c r="G27" s="4">
        <f>VLOOKUP(A27,GroupD[],10,FALSE)</f>
        <v>1</v>
      </c>
      <c r="I27">
        <f>VLOOKUP(A27,GroupD[],8,FALSE)</f>
        <v>2</v>
      </c>
    </row>
    <row r="29" spans="1:15" ht="15.75" thickBot="1" x14ac:dyDescent="0.3">
      <c r="A29" t="s">
        <v>20</v>
      </c>
    </row>
    <row r="30" spans="1:15" ht="15.75" thickBot="1" x14ac:dyDescent="0.3">
      <c r="A30" s="6" t="s">
        <v>10</v>
      </c>
      <c r="B30" s="6" t="s">
        <v>5</v>
      </c>
      <c r="C30" s="6" t="s">
        <v>7</v>
      </c>
      <c r="D30" s="6" t="s">
        <v>8</v>
      </c>
      <c r="E30" s="6" t="s">
        <v>9</v>
      </c>
      <c r="F30" s="6" t="s">
        <v>47</v>
      </c>
      <c r="G30" s="6" t="s">
        <v>3</v>
      </c>
      <c r="K30" s="1" t="s">
        <v>116</v>
      </c>
    </row>
    <row r="31" spans="1:15" x14ac:dyDescent="0.25">
      <c r="A31" s="4">
        <v>1</v>
      </c>
      <c r="B31" s="4" t="str">
        <f>VLOOKUP(A31,GroupE[],3,FALSE)</f>
        <v>Belgium</v>
      </c>
      <c r="C31" s="4">
        <f>VLOOKUP(A31,GroupE[],5,FALSE)</f>
        <v>2</v>
      </c>
      <c r="D31" s="4">
        <f>VLOOKUP(A31,GroupE[],6,FALSE)</f>
        <v>1</v>
      </c>
      <c r="E31" s="4">
        <f>VLOOKUP(A31,GroupE[],7,FALSE)</f>
        <v>0</v>
      </c>
      <c r="F31" s="4">
        <f>VLOOKUP(A31,GroupE[],11,FALSE)</f>
        <v>2</v>
      </c>
      <c r="G31" s="4">
        <f>VLOOKUP(A31,GroupE[],10,FALSE)</f>
        <v>6</v>
      </c>
      <c r="I31">
        <f>VLOOKUP(A31,GroupE[],8,FALSE)</f>
        <v>4</v>
      </c>
      <c r="K31" s="1" t="s">
        <v>95</v>
      </c>
      <c r="L31" s="1" t="s">
        <v>96</v>
      </c>
      <c r="M31" s="1" t="s">
        <v>97</v>
      </c>
      <c r="N31" s="1" t="s">
        <v>98</v>
      </c>
      <c r="O31" s="1" t="s">
        <v>99</v>
      </c>
    </row>
    <row r="32" spans="1:15" x14ac:dyDescent="0.25">
      <c r="A32" s="4">
        <v>2</v>
      </c>
      <c r="B32" s="4" t="str">
        <f>VLOOKUP(A32,GroupE[],3,FALSE)</f>
        <v>Italy</v>
      </c>
      <c r="C32" s="4">
        <f>VLOOKUP(A32,GroupE[],5,FALSE)</f>
        <v>2</v>
      </c>
      <c r="D32" s="4">
        <f>VLOOKUP(A32,GroupE[],6,FALSE)</f>
        <v>1</v>
      </c>
      <c r="E32" s="4">
        <f>VLOOKUP(A32,GroupE[],7,FALSE)</f>
        <v>0</v>
      </c>
      <c r="F32" s="4">
        <f>VLOOKUP(A32,GroupE[],11,FALSE)</f>
        <v>2</v>
      </c>
      <c r="G32" s="4">
        <f>VLOOKUP(A32,GroupE[],10,FALSE)</f>
        <v>6</v>
      </c>
      <c r="I32">
        <f>VLOOKUP(A32,GroupE[],8,FALSE)</f>
        <v>3</v>
      </c>
      <c r="K32" t="s">
        <v>100</v>
      </c>
      <c r="L32" t="str">
        <f>B19</f>
        <v>N Ireland</v>
      </c>
      <c r="M32" t="str">
        <f>B26</f>
        <v>Turkey</v>
      </c>
      <c r="N32" t="str">
        <f>B5</f>
        <v>Albania</v>
      </c>
      <c r="O32" t="str">
        <f>B12</f>
        <v>Slovakia</v>
      </c>
    </row>
    <row r="33" spans="1:15" x14ac:dyDescent="0.25">
      <c r="A33" s="4">
        <v>3</v>
      </c>
      <c r="B33" s="4" t="str">
        <f>VLOOKUP(A33,GroupE[],3,FALSE)</f>
        <v>R. of Ireland</v>
      </c>
      <c r="C33" s="4">
        <f>VLOOKUP(A33,GroupE[],5,FALSE)</f>
        <v>1</v>
      </c>
      <c r="D33" s="4">
        <f>VLOOKUP(A33,GroupE[],6,FALSE)</f>
        <v>1</v>
      </c>
      <c r="E33" s="4">
        <f>VLOOKUP(A33,GroupE[],7,FALSE)</f>
        <v>1</v>
      </c>
      <c r="F33" s="4">
        <f>VLOOKUP(A33,GroupE[],11,FALSE)</f>
        <v>-2</v>
      </c>
      <c r="G33" s="4">
        <f>VLOOKUP(A33,GroupE[],10,FALSE)</f>
        <v>4</v>
      </c>
      <c r="I33">
        <f>VLOOKUP(A33,GroupE[],8,FALSE)</f>
        <v>2</v>
      </c>
      <c r="K33" t="s">
        <v>101</v>
      </c>
      <c r="L33" t="str">
        <f>B19</f>
        <v>N Ireland</v>
      </c>
      <c r="M33" t="str">
        <f>B5</f>
        <v>Albania</v>
      </c>
      <c r="N33" t="str">
        <f>B12</f>
        <v>Slovakia</v>
      </c>
      <c r="O33" t="str">
        <f>B33</f>
        <v>R. of Ireland</v>
      </c>
    </row>
    <row r="34" spans="1:15" x14ac:dyDescent="0.25">
      <c r="A34" s="4">
        <v>4</v>
      </c>
      <c r="B34" s="4" t="str">
        <f>VLOOKUP(A34,GroupE[],3,FALSE)</f>
        <v>Sweden</v>
      </c>
      <c r="C34" s="4">
        <f>VLOOKUP(A34,GroupE[],5,FALSE)</f>
        <v>0</v>
      </c>
      <c r="D34" s="4">
        <f>VLOOKUP(A34,GroupE[],6,FALSE)</f>
        <v>2</v>
      </c>
      <c r="E34" s="4">
        <f>VLOOKUP(A34,GroupE[],7,FALSE)</f>
        <v>1</v>
      </c>
      <c r="F34" s="4">
        <f>VLOOKUP(A34,GroupE[],11,FALSE)</f>
        <v>-2</v>
      </c>
      <c r="G34" s="4">
        <f>VLOOKUP(A34,GroupE[],10,FALSE)</f>
        <v>1</v>
      </c>
      <c r="I34">
        <f>VLOOKUP(A34,GroupE[],8,FALSE)</f>
        <v>1</v>
      </c>
      <c r="K34" t="s">
        <v>102</v>
      </c>
      <c r="L34" t="str">
        <f>B19</f>
        <v>N Ireland</v>
      </c>
      <c r="M34" t="str">
        <f>B5</f>
        <v>Albania</v>
      </c>
      <c r="N34" t="str">
        <f>B12</f>
        <v>Slovakia</v>
      </c>
      <c r="O34" t="str">
        <f>B40</f>
        <v>Portugal</v>
      </c>
    </row>
    <row r="35" spans="1:15" x14ac:dyDescent="0.25">
      <c r="K35" t="s">
        <v>103</v>
      </c>
      <c r="L35" t="str">
        <f>B26</f>
        <v>Turkey</v>
      </c>
      <c r="M35" t="str">
        <f>B5</f>
        <v>Albania</v>
      </c>
      <c r="N35" t="str">
        <f>B12</f>
        <v>Slovakia</v>
      </c>
      <c r="O35" t="str">
        <f>B33</f>
        <v>R. of Ireland</v>
      </c>
    </row>
    <row r="36" spans="1:15" ht="15.75" thickBot="1" x14ac:dyDescent="0.3">
      <c r="A36" t="s">
        <v>21</v>
      </c>
      <c r="K36" t="s">
        <v>104</v>
      </c>
      <c r="L36" t="str">
        <f>B26</f>
        <v>Turkey</v>
      </c>
      <c r="M36" t="str">
        <f>B5</f>
        <v>Albania</v>
      </c>
      <c r="N36" t="str">
        <f>B12</f>
        <v>Slovakia</v>
      </c>
      <c r="O36" t="str">
        <f>B40</f>
        <v>Portugal</v>
      </c>
    </row>
    <row r="37" spans="1:15" ht="15.75" thickBot="1" x14ac:dyDescent="0.3">
      <c r="A37" s="6" t="s">
        <v>10</v>
      </c>
      <c r="B37" s="6" t="s">
        <v>5</v>
      </c>
      <c r="C37" s="6" t="s">
        <v>7</v>
      </c>
      <c r="D37" s="6" t="s">
        <v>8</v>
      </c>
      <c r="E37" s="6" t="s">
        <v>9</v>
      </c>
      <c r="F37" s="6" t="s">
        <v>47</v>
      </c>
      <c r="G37" s="6" t="s">
        <v>3</v>
      </c>
      <c r="K37" t="s">
        <v>105</v>
      </c>
      <c r="L37" t="str">
        <f>B33</f>
        <v>R. of Ireland</v>
      </c>
      <c r="M37" t="str">
        <f>B5</f>
        <v>Albania</v>
      </c>
      <c r="N37" t="str">
        <f>B12</f>
        <v>Slovakia</v>
      </c>
      <c r="O37" t="str">
        <f>B40</f>
        <v>Portugal</v>
      </c>
    </row>
    <row r="38" spans="1:15" x14ac:dyDescent="0.25">
      <c r="A38" s="4">
        <v>1</v>
      </c>
      <c r="B38" s="4" t="str">
        <f>VLOOKUP(A38,GroupF[],3,FALSE)</f>
        <v>Hungary</v>
      </c>
      <c r="C38" s="4">
        <f>VLOOKUP(A38,GroupF[],5,FALSE)</f>
        <v>1</v>
      </c>
      <c r="D38" s="4">
        <f>VLOOKUP(A38,GroupF[],6,FALSE)</f>
        <v>0</v>
      </c>
      <c r="E38" s="4">
        <f>VLOOKUP(A38,GroupF[],7,FALSE)</f>
        <v>2</v>
      </c>
      <c r="F38" s="4">
        <f>VLOOKUP(A38,GroupF[],11,FALSE)</f>
        <v>2</v>
      </c>
      <c r="G38" s="4">
        <f>VLOOKUP(A38,GroupF[],10,FALSE)</f>
        <v>5</v>
      </c>
      <c r="I38">
        <f>VLOOKUP(A38,GroupF[],8,FALSE)</f>
        <v>6</v>
      </c>
      <c r="K38" t="s">
        <v>106</v>
      </c>
      <c r="L38" t="str">
        <f>B19</f>
        <v>N Ireland</v>
      </c>
      <c r="M38" t="str">
        <f>B26</f>
        <v>Turkey</v>
      </c>
      <c r="N38" t="str">
        <f>B5</f>
        <v>Albania</v>
      </c>
      <c r="O38" t="str">
        <f>B33</f>
        <v>R. of Ireland</v>
      </c>
    </row>
    <row r="39" spans="1:15" x14ac:dyDescent="0.25">
      <c r="A39" s="4">
        <v>2</v>
      </c>
      <c r="B39" s="4" t="str">
        <f>VLOOKUP(A39,GroupF[],3,FALSE)</f>
        <v>Iceland</v>
      </c>
      <c r="C39" s="4">
        <f>VLOOKUP(A39,GroupF[],5,FALSE)</f>
        <v>1</v>
      </c>
      <c r="D39" s="4">
        <f>VLOOKUP(A39,GroupF[],6,FALSE)</f>
        <v>0</v>
      </c>
      <c r="E39" s="4">
        <f>VLOOKUP(A39,GroupF[],7,FALSE)</f>
        <v>2</v>
      </c>
      <c r="F39" s="4">
        <f>VLOOKUP(A39,GroupF[],11,FALSE)</f>
        <v>1</v>
      </c>
      <c r="G39" s="4">
        <f>VLOOKUP(A39,GroupF[],10,FALSE)</f>
        <v>5</v>
      </c>
      <c r="I39">
        <f>VLOOKUP(A39,GroupF[],8,FALSE)</f>
        <v>4</v>
      </c>
      <c r="K39" t="s">
        <v>107</v>
      </c>
      <c r="L39" t="str">
        <f>B19</f>
        <v>N Ireland</v>
      </c>
      <c r="M39" t="str">
        <f>B26</f>
        <v>Turkey</v>
      </c>
      <c r="N39" t="str">
        <f>B5</f>
        <v>Albania</v>
      </c>
      <c r="O39" t="str">
        <f>B40</f>
        <v>Portugal</v>
      </c>
    </row>
    <row r="40" spans="1:15" x14ac:dyDescent="0.25">
      <c r="A40" s="4">
        <v>3</v>
      </c>
      <c r="B40" s="4" t="str">
        <f>VLOOKUP(A40,GroupF[],3,FALSE)</f>
        <v>Portugal</v>
      </c>
      <c r="C40" s="4">
        <f>VLOOKUP(A40,GroupF[],5,FALSE)</f>
        <v>0</v>
      </c>
      <c r="D40" s="4">
        <f>VLOOKUP(A40,GroupF[],6,FALSE)</f>
        <v>0</v>
      </c>
      <c r="E40" s="4">
        <f>VLOOKUP(A40,GroupF[],7,FALSE)</f>
        <v>3</v>
      </c>
      <c r="F40" s="4">
        <f>VLOOKUP(A40,GroupF[],11,FALSE)</f>
        <v>0</v>
      </c>
      <c r="G40" s="4">
        <f>VLOOKUP(A40,GroupF[],10,FALSE)</f>
        <v>3</v>
      </c>
      <c r="I40">
        <f>VLOOKUP(A40,GroupF[],8,FALSE)</f>
        <v>4</v>
      </c>
      <c r="K40" t="s">
        <v>108</v>
      </c>
      <c r="L40" t="str">
        <f>B19</f>
        <v>N Ireland</v>
      </c>
      <c r="M40" t="str">
        <f>B5</f>
        <v>Albania</v>
      </c>
      <c r="N40" t="str">
        <f>B40</f>
        <v>Portugal</v>
      </c>
      <c r="O40" t="str">
        <f>B33</f>
        <v>R. of Ireland</v>
      </c>
    </row>
    <row r="41" spans="1:15" x14ac:dyDescent="0.25">
      <c r="A41" s="4">
        <v>4</v>
      </c>
      <c r="B41" s="4" t="str">
        <f>VLOOKUP(A41,GroupF[],3,FALSE)</f>
        <v>Austria</v>
      </c>
      <c r="C41" s="4">
        <f>VLOOKUP(A41,GroupF[],5,FALSE)</f>
        <v>0</v>
      </c>
      <c r="D41" s="4">
        <f>VLOOKUP(A41,GroupF[],6,FALSE)</f>
        <v>2</v>
      </c>
      <c r="E41" s="4">
        <f>VLOOKUP(A41,GroupF[],7,FALSE)</f>
        <v>1</v>
      </c>
      <c r="F41" s="4">
        <f>VLOOKUP(A41,GroupF[],11,FALSE)</f>
        <v>-3</v>
      </c>
      <c r="G41" s="4">
        <f>VLOOKUP(A41,GroupF[],10,FALSE)</f>
        <v>1</v>
      </c>
      <c r="I41">
        <f>VLOOKUP(A41,GroupF[],8,FALSE)</f>
        <v>1</v>
      </c>
      <c r="K41" t="s">
        <v>109</v>
      </c>
      <c r="L41" t="str">
        <f>B26</f>
        <v>Turkey</v>
      </c>
      <c r="M41" t="str">
        <f>B5</f>
        <v>Albania</v>
      </c>
      <c r="N41" t="str">
        <f>B40</f>
        <v>Portugal</v>
      </c>
      <c r="O41" t="str">
        <f>B33</f>
        <v>R. of Ireland</v>
      </c>
    </row>
    <row r="42" spans="1:15" x14ac:dyDescent="0.25">
      <c r="K42" t="s">
        <v>110</v>
      </c>
      <c r="L42" t="str">
        <f>B19</f>
        <v>N Ireland</v>
      </c>
      <c r="M42" t="str">
        <f>B26</f>
        <v>Turkey</v>
      </c>
      <c r="N42" t="str">
        <f>B12</f>
        <v>Slovakia</v>
      </c>
      <c r="O42" t="str">
        <f>B33</f>
        <v>R. of Ireland</v>
      </c>
    </row>
    <row r="43" spans="1:15" ht="15.75" thickBot="1" x14ac:dyDescent="0.3">
      <c r="A43" t="s">
        <v>88</v>
      </c>
      <c r="K43" t="s">
        <v>111</v>
      </c>
      <c r="L43" t="str">
        <f>B19</f>
        <v>N Ireland</v>
      </c>
      <c r="M43" t="str">
        <f>B26</f>
        <v>Turkey</v>
      </c>
      <c r="N43" t="str">
        <f>B12</f>
        <v>Slovakia</v>
      </c>
      <c r="O43" t="str">
        <f>B40</f>
        <v>Portugal</v>
      </c>
    </row>
    <row r="44" spans="1:15" ht="15.75" thickBot="1" x14ac:dyDescent="0.3">
      <c r="A44" s="6" t="s">
        <v>10</v>
      </c>
      <c r="B44" s="6" t="s">
        <v>5</v>
      </c>
      <c r="C44" s="6" t="s">
        <v>47</v>
      </c>
      <c r="D44" s="6" t="s">
        <v>3</v>
      </c>
      <c r="E44" s="6" t="s">
        <v>90</v>
      </c>
      <c r="K44" t="s">
        <v>112</v>
      </c>
      <c r="L44" t="str">
        <f>B33</f>
        <v>R. of Ireland</v>
      </c>
      <c r="M44" t="str">
        <f>B19</f>
        <v>N Ireland</v>
      </c>
      <c r="N44" t="str">
        <f>B12</f>
        <v>Slovakia</v>
      </c>
      <c r="O44" t="str">
        <f>B40</f>
        <v>Portugal</v>
      </c>
    </row>
    <row r="45" spans="1:15" x14ac:dyDescent="0.25">
      <c r="A45" s="4">
        <v>1</v>
      </c>
      <c r="B45" s="4" t="str">
        <f>VLOOKUP(A45,ThirdTable[],3,FALSE)</f>
        <v>Slovakia</v>
      </c>
      <c r="C45" s="4">
        <f>VLOOKUP(A45,ThirdTable[],6,FALSE)</f>
        <v>0</v>
      </c>
      <c r="D45" s="4">
        <f>VLOOKUP(A45,ThirdTable[],7,FALSE)</f>
        <v>4</v>
      </c>
      <c r="E45" t="str">
        <f>VLOOKUP(A45,ThirdTable[],4,FALSE)</f>
        <v>B</v>
      </c>
      <c r="H45" t="s">
        <v>94</v>
      </c>
      <c r="K45" t="s">
        <v>113</v>
      </c>
      <c r="L45" t="str">
        <f>B33</f>
        <v>R. of Ireland</v>
      </c>
      <c r="M45" t="str">
        <f>B26</f>
        <v>Turkey</v>
      </c>
      <c r="N45" t="str">
        <f>B12</f>
        <v>Slovakia</v>
      </c>
      <c r="O45" t="str">
        <f>B40</f>
        <v>Portugal</v>
      </c>
    </row>
    <row r="46" spans="1:15" x14ac:dyDescent="0.25">
      <c r="A46" s="4">
        <v>2</v>
      </c>
      <c r="B46" s="4" t="str">
        <f>VLOOKUP(A46,ThirdTable[],3,FALSE)</f>
        <v>R. of Ireland</v>
      </c>
      <c r="C46" s="4">
        <f>VLOOKUP(A46,ThirdTable[],6,FALSE)</f>
        <v>-2</v>
      </c>
      <c r="D46" s="4">
        <f>VLOOKUP(A46,ThirdTable[],7,FALSE)</f>
        <v>4</v>
      </c>
      <c r="E46" t="str">
        <f>VLOOKUP(A46,ThirdTable[],4,FALSE)</f>
        <v>E</v>
      </c>
      <c r="H46" t="str">
        <f>A51&amp;A52&amp;A53&amp;A54</f>
        <v>BCEF</v>
      </c>
      <c r="K46" t="s">
        <v>114</v>
      </c>
      <c r="L46" t="str">
        <f>B19</f>
        <v>N Ireland</v>
      </c>
      <c r="M46" t="str">
        <f>B26</f>
        <v>Turkey</v>
      </c>
      <c r="N46" t="str">
        <f>B40</f>
        <v>Portugal</v>
      </c>
      <c r="O46" t="str">
        <f>B33</f>
        <v>R. of Ireland</v>
      </c>
    </row>
    <row r="47" spans="1:15" x14ac:dyDescent="0.25">
      <c r="A47" s="4">
        <v>3</v>
      </c>
      <c r="B47" s="4" t="str">
        <f>VLOOKUP(A47,ThirdTable[],3,FALSE)</f>
        <v>N Ireland</v>
      </c>
      <c r="C47" s="4">
        <f>VLOOKUP(A47,ThirdTable[],6,FALSE)</f>
        <v>0</v>
      </c>
      <c r="D47" s="4">
        <f>VLOOKUP(A47,ThirdTable[],7,FALSE)</f>
        <v>3</v>
      </c>
      <c r="E47" t="str">
        <f>VLOOKUP(A47,ThirdTable[],4,FALSE)</f>
        <v>C</v>
      </c>
    </row>
    <row r="48" spans="1:15" x14ac:dyDescent="0.25">
      <c r="A48" s="4">
        <v>4</v>
      </c>
      <c r="B48" s="4" t="str">
        <f>VLOOKUP(A48,ThirdTable[],3,FALSE)</f>
        <v>Portugal</v>
      </c>
      <c r="C48" s="4">
        <f>VLOOKUP(A48,ThirdTable[],6,FALSE)</f>
        <v>0</v>
      </c>
      <c r="D48" s="4">
        <f>VLOOKUP(A48,ThirdTable[],7,FALSE)</f>
        <v>3</v>
      </c>
      <c r="E48" t="str">
        <f>VLOOKUP(A48,ThirdTable[],4,FALSE)</f>
        <v>F</v>
      </c>
    </row>
    <row r="50" spans="1:1" x14ac:dyDescent="0.25">
      <c r="A50" s="38" t="s">
        <v>143</v>
      </c>
    </row>
    <row r="51" spans="1:1" x14ac:dyDescent="0.25">
      <c r="A51" s="39" t="s">
        <v>91</v>
      </c>
    </row>
    <row r="52" spans="1:1" x14ac:dyDescent="0.25">
      <c r="A52" s="39" t="s">
        <v>92</v>
      </c>
    </row>
    <row r="53" spans="1:1" x14ac:dyDescent="0.25">
      <c r="A53" s="39" t="s">
        <v>93</v>
      </c>
    </row>
    <row r="54" spans="1:1" x14ac:dyDescent="0.25">
      <c r="A54" s="39" t="s">
        <v>0</v>
      </c>
    </row>
  </sheetData>
  <pageMargins left="0.7" right="0.7" top="0.75" bottom="0.75" header="0.3" footer="0.3"/>
  <pageSetup paperSize="9" orientation="portrait" horizontalDpi="0" verticalDpi="0"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Group Stages</vt:lpstr>
      <vt:lpstr>Knockout Stages</vt:lpstr>
      <vt:lpstr>Calculations</vt:lpstr>
      <vt:lpstr>League Tables</vt:lpstr>
    </vt:vector>
  </TitlesOfParts>
  <Company>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amurray</dc:creator>
  <cp:lastModifiedBy>Trainee1</cp:lastModifiedBy>
  <dcterms:created xsi:type="dcterms:W3CDTF">2010-04-06T13:42:08Z</dcterms:created>
  <dcterms:modified xsi:type="dcterms:W3CDTF">2016-06-23T10:02:17Z</dcterms:modified>
</cp:coreProperties>
</file>